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Бобков\ВЫНЕС НА ЦК\(1) В ГАУИ\+ 356518 Экраны\ЦК после ГАУИ 24.02.2021\"/>
    </mc:Choice>
  </mc:AlternateContent>
  <bookViews>
    <workbookView xWindow="0" yWindow="0" windowWidth="28800" windowHeight="10800"/>
  </bookViews>
  <sheets>
    <sheet name="План" sheetId="5" r:id="rId1"/>
    <sheet name="Калькуляция" sheetId="1" r:id="rId2"/>
    <sheet name="Калькуляция1" sheetId="6" r:id="rId3"/>
    <sheet name="Калькуляция2" sheetId="7" r:id="rId4"/>
  </sheets>
  <externalReferences>
    <externalReference r:id="rId5"/>
  </externalReferences>
  <definedNames>
    <definedName name="Курс">Калькуляция!#REF!</definedName>
    <definedName name="_xlnm.Print_Area" localSheetId="0">План!$A$1:$U$38</definedName>
    <definedName name="тип1">[1]Baseline!$B$8</definedName>
    <definedName name="тип2">[1]Baseline!$B$9</definedName>
    <definedName name="тип3">[1]Baseline!$B$10</definedName>
    <definedName name="тип4">[1]Baseline!$B$11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5" l="1"/>
  <c r="M17" i="5" l="1"/>
  <c r="H17" i="5"/>
  <c r="C17" i="5"/>
  <c r="C14" i="5" l="1"/>
  <c r="C23" i="5" l="1"/>
  <c r="C11" i="5"/>
  <c r="C10" i="5" l="1"/>
  <c r="F10" i="5" l="1"/>
  <c r="G10" i="5" s="1"/>
  <c r="S10" i="5" s="1"/>
  <c r="H19" i="1" l="1"/>
  <c r="M19" i="1" l="1"/>
  <c r="L156" i="1"/>
  <c r="J161" i="1"/>
  <c r="J162" i="1"/>
  <c r="H156" i="1" l="1"/>
  <c r="H3" i="6" l="1"/>
  <c r="C60" i="7" l="1"/>
  <c r="C68" i="6"/>
  <c r="C60" i="6"/>
  <c r="M19" i="7" l="1"/>
  <c r="M19" i="6"/>
  <c r="H39" i="7" l="1"/>
  <c r="I39" i="7" s="1"/>
  <c r="H39" i="6"/>
  <c r="I39" i="6" s="1"/>
  <c r="H119" i="1"/>
  <c r="I119" i="1"/>
  <c r="F30" i="7" l="1"/>
  <c r="F28" i="7"/>
  <c r="F26" i="7"/>
  <c r="F24" i="7"/>
  <c r="F21" i="7"/>
  <c r="F14" i="7"/>
  <c r="F10" i="7"/>
  <c r="H23" i="7"/>
  <c r="I23" i="7" s="1"/>
  <c r="H20" i="7"/>
  <c r="I20" i="7" s="1"/>
  <c r="H17" i="7"/>
  <c r="I17" i="7" s="1"/>
  <c r="H13" i="7"/>
  <c r="I13" i="7" s="1"/>
  <c r="H9" i="7"/>
  <c r="I9" i="7" s="1"/>
  <c r="H5" i="7"/>
  <c r="I5" i="7" s="1"/>
  <c r="F30" i="6"/>
  <c r="F28" i="6"/>
  <c r="F26" i="6"/>
  <c r="F24" i="6"/>
  <c r="F21" i="6"/>
  <c r="F14" i="6"/>
  <c r="F10" i="6" l="1"/>
  <c r="H23" i="6"/>
  <c r="I23" i="6" s="1"/>
  <c r="H20" i="6"/>
  <c r="I20" i="6" s="1"/>
  <c r="H17" i="6"/>
  <c r="I17" i="6" s="1"/>
  <c r="H13" i="6"/>
  <c r="I13" i="6" s="1"/>
  <c r="H9" i="6"/>
  <c r="I9" i="6" s="1"/>
  <c r="H7" i="1" l="1"/>
  <c r="H4" i="1" l="1"/>
  <c r="H5" i="1"/>
  <c r="H8" i="1"/>
  <c r="H9" i="1"/>
  <c r="I9" i="1" s="1"/>
  <c r="H11" i="1"/>
  <c r="H12" i="1"/>
  <c r="H13" i="1"/>
  <c r="H15" i="1"/>
  <c r="H16" i="1"/>
  <c r="H17" i="1"/>
  <c r="H20" i="1"/>
  <c r="H21" i="1"/>
  <c r="H22" i="1"/>
  <c r="H23" i="1"/>
  <c r="H24" i="1"/>
  <c r="H25" i="1"/>
  <c r="H26" i="1"/>
  <c r="H27" i="1"/>
  <c r="H28" i="1"/>
  <c r="H29" i="1"/>
  <c r="H30" i="1"/>
  <c r="I30" i="1" s="1"/>
  <c r="H31" i="1"/>
  <c r="H32" i="1"/>
  <c r="H33" i="1"/>
  <c r="H34" i="1"/>
  <c r="H35" i="1"/>
  <c r="H36" i="1"/>
  <c r="H37" i="1"/>
  <c r="H38" i="1"/>
  <c r="H39" i="1"/>
  <c r="H40" i="1"/>
  <c r="H41" i="1"/>
  <c r="H42" i="1"/>
  <c r="I42" i="1" s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I72" i="1" s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I91" i="1" s="1"/>
  <c r="H92" i="1"/>
  <c r="H93" i="1"/>
  <c r="H3" i="1"/>
  <c r="H94" i="1"/>
  <c r="H95" i="1"/>
  <c r="H96" i="1"/>
  <c r="H97" i="1"/>
  <c r="H98" i="1"/>
  <c r="H99" i="1"/>
  <c r="H100" i="1"/>
  <c r="H101" i="1"/>
  <c r="I101" i="1" s="1"/>
  <c r="H102" i="1"/>
  <c r="H103" i="1"/>
  <c r="H104" i="1"/>
  <c r="H105" i="1"/>
  <c r="H106" i="1"/>
  <c r="H107" i="1"/>
  <c r="I107" i="1" s="1"/>
  <c r="H108" i="1"/>
  <c r="H109" i="1"/>
  <c r="H110" i="1"/>
  <c r="I156" i="1" l="1"/>
  <c r="F75" i="7" l="1"/>
  <c r="F76" i="6"/>
  <c r="G158" i="1" l="1"/>
  <c r="F141" i="1" l="1"/>
  <c r="F152" i="1" l="1"/>
  <c r="F158" i="1"/>
  <c r="X9" i="5" l="1"/>
  <c r="I88" i="7"/>
  <c r="F88" i="7"/>
  <c r="I87" i="7"/>
  <c r="F87" i="7"/>
  <c r="I86" i="7"/>
  <c r="F86" i="7"/>
  <c r="I85" i="7"/>
  <c r="F85" i="7"/>
  <c r="I84" i="7"/>
  <c r="F84" i="7"/>
  <c r="I83" i="7"/>
  <c r="F83" i="7"/>
  <c r="I79" i="7"/>
  <c r="I78" i="7"/>
  <c r="I75" i="7"/>
  <c r="H73" i="7"/>
  <c r="I73" i="7" s="1"/>
  <c r="J73" i="7" s="1"/>
  <c r="F69" i="7"/>
  <c r="I69" i="7" s="1"/>
  <c r="F68" i="7"/>
  <c r="I68" i="7" s="1"/>
  <c r="F67" i="7"/>
  <c r="I67" i="7" s="1"/>
  <c r="F66" i="7"/>
  <c r="I66" i="7" s="1"/>
  <c r="F65" i="7"/>
  <c r="I65" i="7" s="1"/>
  <c r="F64" i="7"/>
  <c r="I64" i="7" s="1"/>
  <c r="F63" i="7"/>
  <c r="I63" i="7" s="1"/>
  <c r="F62" i="7"/>
  <c r="I62" i="7" s="1"/>
  <c r="C61" i="7"/>
  <c r="F61" i="7" s="1"/>
  <c r="I61" i="7" s="1"/>
  <c r="F60" i="7"/>
  <c r="I60" i="7" s="1"/>
  <c r="H56" i="7"/>
  <c r="I56" i="7" s="1"/>
  <c r="H55" i="7"/>
  <c r="I55" i="7" s="1"/>
  <c r="H54" i="7"/>
  <c r="I54" i="7" s="1"/>
  <c r="H53" i="7"/>
  <c r="I53" i="7" s="1"/>
  <c r="H52" i="7"/>
  <c r="I52" i="7" s="1"/>
  <c r="H51" i="7"/>
  <c r="I51" i="7" s="1"/>
  <c r="H50" i="7"/>
  <c r="I50" i="7" s="1"/>
  <c r="H49" i="7"/>
  <c r="I49" i="7" s="1"/>
  <c r="H48" i="7"/>
  <c r="I48" i="7" s="1"/>
  <c r="H47" i="7"/>
  <c r="I47" i="7" s="1"/>
  <c r="H46" i="7"/>
  <c r="I46" i="7" s="1"/>
  <c r="H45" i="7"/>
  <c r="I45" i="7" s="1"/>
  <c r="H44" i="7"/>
  <c r="I44" i="7" s="1"/>
  <c r="H43" i="7"/>
  <c r="I43" i="7" s="1"/>
  <c r="H38" i="7"/>
  <c r="I38" i="7" s="1"/>
  <c r="H37" i="7"/>
  <c r="I37" i="7" s="1"/>
  <c r="H29" i="7"/>
  <c r="I29" i="7" s="1"/>
  <c r="H27" i="7"/>
  <c r="I27" i="7" s="1"/>
  <c r="H28" i="7" s="1"/>
  <c r="I28" i="7" s="1"/>
  <c r="H30" i="7" s="1"/>
  <c r="I30" i="7" s="1"/>
  <c r="H25" i="7"/>
  <c r="I25" i="7" s="1"/>
  <c r="H26" i="7" s="1"/>
  <c r="I26" i="7" s="1"/>
  <c r="H22" i="7"/>
  <c r="I22" i="7" s="1"/>
  <c r="H24" i="7" s="1"/>
  <c r="I24" i="7" s="1"/>
  <c r="H19" i="7"/>
  <c r="I19" i="7" s="1"/>
  <c r="H16" i="7"/>
  <c r="I16" i="7" s="1"/>
  <c r="H15" i="7"/>
  <c r="I15" i="7" s="1"/>
  <c r="J17" i="7" s="1"/>
  <c r="K18" i="7" s="1"/>
  <c r="H12" i="7"/>
  <c r="I12" i="7" s="1"/>
  <c r="H11" i="7"/>
  <c r="I11" i="7" s="1"/>
  <c r="H8" i="7"/>
  <c r="I8" i="7" s="1"/>
  <c r="H7" i="7"/>
  <c r="I7" i="7" s="1"/>
  <c r="J9" i="7" s="1"/>
  <c r="K10" i="7" s="1"/>
  <c r="H4" i="7"/>
  <c r="I4" i="7" s="1"/>
  <c r="H3" i="7"/>
  <c r="I3" i="7" s="1"/>
  <c r="J5" i="7" l="1"/>
  <c r="K6" i="7" s="1"/>
  <c r="L6" i="7" s="1"/>
  <c r="J13" i="7"/>
  <c r="K14" i="7" s="1"/>
  <c r="L14" i="7" s="1"/>
  <c r="I40" i="7"/>
  <c r="L10" i="7"/>
  <c r="M13" i="5"/>
  <c r="L18" i="7"/>
  <c r="M25" i="5"/>
  <c r="H21" i="7"/>
  <c r="I21" i="7" s="1"/>
  <c r="M26" i="5" s="1"/>
  <c r="I89" i="7"/>
  <c r="I80" i="7" s="1"/>
  <c r="I90" i="7" s="1"/>
  <c r="N31" i="5" s="1"/>
  <c r="M32" i="5"/>
  <c r="P32" i="5" s="1"/>
  <c r="I70" i="7"/>
  <c r="I57" i="7"/>
  <c r="M29" i="5" s="1"/>
  <c r="O29" i="5" s="1"/>
  <c r="M27" i="5" l="1"/>
  <c r="M28" i="5"/>
  <c r="M22" i="5"/>
  <c r="M21" i="5"/>
  <c r="H18" i="7"/>
  <c r="I18" i="7" s="1"/>
  <c r="L19" i="7"/>
  <c r="H14" i="7"/>
  <c r="I14" i="7" s="1"/>
  <c r="H6" i="7"/>
  <c r="I6" i="7" s="1"/>
  <c r="M10" i="5"/>
  <c r="H10" i="7"/>
  <c r="I10" i="7" s="1"/>
  <c r="M14" i="5"/>
  <c r="Q32" i="5"/>
  <c r="I71" i="7"/>
  <c r="M31" i="5" s="1"/>
  <c r="M33" i="5" s="1"/>
  <c r="J57" i="7"/>
  <c r="M18" i="5" l="1"/>
  <c r="I31" i="7"/>
  <c r="J31" i="7" s="1"/>
  <c r="J71" i="7"/>
  <c r="M30" i="5"/>
  <c r="M34" i="5" l="1"/>
  <c r="M9" i="5"/>
  <c r="Q29" i="5"/>
  <c r="I76" i="7"/>
  <c r="J76" i="7" s="1"/>
  <c r="X8" i="5" s="1"/>
  <c r="W9" i="5"/>
  <c r="I90" i="6"/>
  <c r="F90" i="6"/>
  <c r="I89" i="6"/>
  <c r="F89" i="6"/>
  <c r="I88" i="6"/>
  <c r="F88" i="6"/>
  <c r="I87" i="6"/>
  <c r="F87" i="6"/>
  <c r="I86" i="6"/>
  <c r="F86" i="6"/>
  <c r="I85" i="6"/>
  <c r="F85" i="6"/>
  <c r="I84" i="6"/>
  <c r="F84" i="6"/>
  <c r="I80" i="6"/>
  <c r="I79" i="6"/>
  <c r="I76" i="6"/>
  <c r="H74" i="6"/>
  <c r="I74" i="6" s="1"/>
  <c r="J74" i="6" s="1"/>
  <c r="F70" i="6"/>
  <c r="I70" i="6" s="1"/>
  <c r="F69" i="6"/>
  <c r="I69" i="6" s="1"/>
  <c r="F68" i="6"/>
  <c r="I68" i="6" s="1"/>
  <c r="F67" i="6"/>
  <c r="I67" i="6" s="1"/>
  <c r="F66" i="6"/>
  <c r="I66" i="6" s="1"/>
  <c r="F65" i="6"/>
  <c r="I65" i="6" s="1"/>
  <c r="F64" i="6"/>
  <c r="I64" i="6" s="1"/>
  <c r="F63" i="6"/>
  <c r="I63" i="6" s="1"/>
  <c r="F62" i="6"/>
  <c r="I62" i="6" s="1"/>
  <c r="C61" i="6"/>
  <c r="F61" i="6" s="1"/>
  <c r="I61" i="6" s="1"/>
  <c r="F60" i="6"/>
  <c r="I60" i="6" s="1"/>
  <c r="H56" i="6"/>
  <c r="I56" i="6" s="1"/>
  <c r="H55" i="6"/>
  <c r="I55" i="6" s="1"/>
  <c r="H54" i="6"/>
  <c r="I54" i="6" s="1"/>
  <c r="H53" i="6"/>
  <c r="I53" i="6" s="1"/>
  <c r="H52" i="6"/>
  <c r="I52" i="6" s="1"/>
  <c r="H51" i="6"/>
  <c r="I51" i="6" s="1"/>
  <c r="H50" i="6"/>
  <c r="I50" i="6" s="1"/>
  <c r="H49" i="6"/>
  <c r="I49" i="6" s="1"/>
  <c r="H48" i="6"/>
  <c r="I48" i="6" s="1"/>
  <c r="H47" i="6"/>
  <c r="I47" i="6" s="1"/>
  <c r="H46" i="6"/>
  <c r="I46" i="6" s="1"/>
  <c r="H45" i="6"/>
  <c r="I45" i="6" s="1"/>
  <c r="H44" i="6"/>
  <c r="I44" i="6" s="1"/>
  <c r="H43" i="6"/>
  <c r="I43" i="6" s="1"/>
  <c r="H38" i="6"/>
  <c r="I38" i="6" s="1"/>
  <c r="H37" i="6"/>
  <c r="I37" i="6" s="1"/>
  <c r="I40" i="6" s="1"/>
  <c r="H27" i="5" s="1"/>
  <c r="H29" i="6"/>
  <c r="I29" i="6" s="1"/>
  <c r="H27" i="6"/>
  <c r="I27" i="6" s="1"/>
  <c r="H25" i="6"/>
  <c r="I25" i="6" s="1"/>
  <c r="H22" i="6"/>
  <c r="I22" i="6" s="1"/>
  <c r="H19" i="6"/>
  <c r="I19" i="6" s="1"/>
  <c r="H16" i="6"/>
  <c r="I16" i="6" s="1"/>
  <c r="H15" i="6"/>
  <c r="I15" i="6" s="1"/>
  <c r="H12" i="6"/>
  <c r="I12" i="6" s="1"/>
  <c r="H11" i="6"/>
  <c r="I11" i="6" s="1"/>
  <c r="H8" i="6"/>
  <c r="I8" i="6" s="1"/>
  <c r="H7" i="6"/>
  <c r="I7" i="6" s="1"/>
  <c r="H5" i="6"/>
  <c r="I5" i="6" s="1"/>
  <c r="H4" i="6"/>
  <c r="I4" i="6" s="1"/>
  <c r="I3" i="6"/>
  <c r="J9" i="6" l="1"/>
  <c r="K10" i="6" s="1"/>
  <c r="J17" i="6"/>
  <c r="K18" i="6" s="1"/>
  <c r="L18" i="6" s="1"/>
  <c r="J5" i="6"/>
  <c r="K6" i="6" s="1"/>
  <c r="H6" i="6" s="1"/>
  <c r="I6" i="6" s="1"/>
  <c r="H25" i="5"/>
  <c r="L10" i="6"/>
  <c r="J13" i="6"/>
  <c r="K14" i="6" s="1"/>
  <c r="P13" i="5"/>
  <c r="Q13" i="5" s="1"/>
  <c r="P25" i="5"/>
  <c r="Q25" i="5" s="1"/>
  <c r="P21" i="5"/>
  <c r="Q21" i="5" s="1"/>
  <c r="P17" i="5"/>
  <c r="Q17" i="5" s="1"/>
  <c r="I92" i="7"/>
  <c r="I93" i="7" s="1"/>
  <c r="O31" i="5" s="1"/>
  <c r="H21" i="6"/>
  <c r="I21" i="6" s="1"/>
  <c r="H24" i="6"/>
  <c r="I24" i="6" s="1"/>
  <c r="H26" i="6" s="1"/>
  <c r="I26" i="6" s="1"/>
  <c r="H28" i="6" s="1"/>
  <c r="I28" i="6" s="1"/>
  <c r="H30" i="6" s="1"/>
  <c r="I30" i="6" s="1"/>
  <c r="I91" i="6"/>
  <c r="I81" i="6" s="1"/>
  <c r="I92" i="6" s="1"/>
  <c r="I31" i="5" s="1"/>
  <c r="H32" i="5"/>
  <c r="I57" i="6"/>
  <c r="J57" i="6" s="1"/>
  <c r="I71" i="6"/>
  <c r="K32" i="5" l="1"/>
  <c r="L32" i="5" s="1"/>
  <c r="L6" i="6"/>
  <c r="P10" i="5"/>
  <c r="Q10" i="5" s="1"/>
  <c r="L14" i="6"/>
  <c r="H21" i="5"/>
  <c r="H13" i="5"/>
  <c r="H10" i="5"/>
  <c r="H26" i="5"/>
  <c r="H28" i="5" s="1"/>
  <c r="I94" i="7"/>
  <c r="I95" i="7" s="1"/>
  <c r="I96" i="7" s="1"/>
  <c r="P14" i="5"/>
  <c r="Q14" i="5" s="1"/>
  <c r="P18" i="5"/>
  <c r="Q18" i="5" s="1"/>
  <c r="P22" i="5"/>
  <c r="Q22" i="5" s="1"/>
  <c r="P31" i="5"/>
  <c r="Q31" i="5" s="1"/>
  <c r="N33" i="5"/>
  <c r="N34" i="5" s="1"/>
  <c r="H22" i="5"/>
  <c r="T22" i="5" s="1"/>
  <c r="U22" i="5" s="1"/>
  <c r="H18" i="6"/>
  <c r="I18" i="6" s="1"/>
  <c r="H14" i="5"/>
  <c r="T14" i="5" s="1"/>
  <c r="U14" i="5" s="1"/>
  <c r="H10" i="6"/>
  <c r="I10" i="6" s="1"/>
  <c r="H18" i="5"/>
  <c r="T18" i="5" s="1"/>
  <c r="U18" i="5" s="1"/>
  <c r="I72" i="6"/>
  <c r="J72" i="6" s="1"/>
  <c r="O33" i="5"/>
  <c r="O34" i="5" s="1"/>
  <c r="J40" i="6"/>
  <c r="H29" i="5"/>
  <c r="H30" i="5" l="1"/>
  <c r="J29" i="5"/>
  <c r="H9" i="5"/>
  <c r="P28" i="5"/>
  <c r="Q28" i="5" s="1"/>
  <c r="Q30" i="5" s="1"/>
  <c r="L19" i="6"/>
  <c r="H14" i="6"/>
  <c r="I14" i="6" s="1"/>
  <c r="I31" i="6" s="1"/>
  <c r="J31" i="6" s="1"/>
  <c r="P33" i="5"/>
  <c r="H31" i="5"/>
  <c r="L29" i="5" l="1"/>
  <c r="H33" i="5"/>
  <c r="H34" i="5" s="1"/>
  <c r="P30" i="5"/>
  <c r="Q33" i="5"/>
  <c r="I77" i="6"/>
  <c r="J79" i="6" l="1"/>
  <c r="I94" i="6"/>
  <c r="P34" i="5"/>
  <c r="Q34" i="5"/>
  <c r="J77" i="6"/>
  <c r="W8" i="5" s="1"/>
  <c r="I95" i="6" l="1"/>
  <c r="J31" i="5" s="1"/>
  <c r="K31" i="5" s="1"/>
  <c r="L31" i="5" s="1"/>
  <c r="J93" i="6"/>
  <c r="K17" i="5"/>
  <c r="L17" i="5" s="1"/>
  <c r="K25" i="5"/>
  <c r="L25" i="5" s="1"/>
  <c r="K21" i="5"/>
  <c r="L21" i="5" s="1"/>
  <c r="I152" i="1"/>
  <c r="F151" i="1"/>
  <c r="I151" i="1" s="1"/>
  <c r="F150" i="1"/>
  <c r="I150" i="1" s="1"/>
  <c r="F149" i="1"/>
  <c r="I149" i="1" s="1"/>
  <c r="F148" i="1"/>
  <c r="I148" i="1" s="1"/>
  <c r="F147" i="1"/>
  <c r="I147" i="1" s="1"/>
  <c r="F146" i="1"/>
  <c r="I146" i="1" s="1"/>
  <c r="F145" i="1"/>
  <c r="I145" i="1" s="1"/>
  <c r="F144" i="1"/>
  <c r="I144" i="1" s="1"/>
  <c r="F143" i="1"/>
  <c r="I143" i="1" s="1"/>
  <c r="F142" i="1"/>
  <c r="I142" i="1" s="1"/>
  <c r="I141" i="1"/>
  <c r="F140" i="1"/>
  <c r="I140" i="1" s="1"/>
  <c r="I185" i="1" l="1"/>
  <c r="I96" i="6"/>
  <c r="I97" i="6" s="1"/>
  <c r="I98" i="6" s="1"/>
  <c r="K28" i="5"/>
  <c r="L28" i="5" s="1"/>
  <c r="L30" i="5" s="1"/>
  <c r="K22" i="5"/>
  <c r="L22" i="5" s="1"/>
  <c r="K10" i="5"/>
  <c r="L10" i="5" s="1"/>
  <c r="K18" i="5"/>
  <c r="L18" i="5" s="1"/>
  <c r="K14" i="5"/>
  <c r="L14" i="5" s="1"/>
  <c r="K13" i="5"/>
  <c r="L13" i="5" s="1"/>
  <c r="I33" i="5"/>
  <c r="I34" i="5" s="1"/>
  <c r="C32" i="5"/>
  <c r="K73" i="7"/>
  <c r="L73" i="7" s="1"/>
  <c r="K74" i="6"/>
  <c r="L74" i="6" s="1"/>
  <c r="I153" i="1"/>
  <c r="V9" i="5"/>
  <c r="F32" i="5" l="1"/>
  <c r="K30" i="5"/>
  <c r="J33" i="5"/>
  <c r="J34" i="5" s="1"/>
  <c r="I154" i="1"/>
  <c r="F131" i="1"/>
  <c r="F132" i="1" s="1"/>
  <c r="G32" i="5" l="1"/>
  <c r="S32" i="5" s="1"/>
  <c r="K71" i="7"/>
  <c r="L71" i="7" s="1"/>
  <c r="K153" i="1"/>
  <c r="K72" i="6"/>
  <c r="L72" i="6" s="1"/>
  <c r="K33" i="5"/>
  <c r="I110" i="1"/>
  <c r="I106" i="1"/>
  <c r="I105" i="1"/>
  <c r="I103" i="1"/>
  <c r="I102" i="1"/>
  <c r="I98" i="1"/>
  <c r="I97" i="1"/>
  <c r="I94" i="1"/>
  <c r="I90" i="1"/>
  <c r="I89" i="1"/>
  <c r="I87" i="1"/>
  <c r="I86" i="1"/>
  <c r="I83" i="1"/>
  <c r="I82" i="1"/>
  <c r="I79" i="1"/>
  <c r="I78" i="1"/>
  <c r="I75" i="1"/>
  <c r="I74" i="1"/>
  <c r="I70" i="1"/>
  <c r="I67" i="1"/>
  <c r="I66" i="1"/>
  <c r="I63" i="1"/>
  <c r="I62" i="1"/>
  <c r="I59" i="1"/>
  <c r="I58" i="1"/>
  <c r="I55" i="1"/>
  <c r="I54" i="1"/>
  <c r="I51" i="1"/>
  <c r="I50" i="1"/>
  <c r="I47" i="1"/>
  <c r="I46" i="1"/>
  <c r="I44" i="1"/>
  <c r="I43" i="1"/>
  <c r="I40" i="1"/>
  <c r="I39" i="1"/>
  <c r="I38" i="1"/>
  <c r="I36" i="1"/>
  <c r="I35" i="1"/>
  <c r="I32" i="1"/>
  <c r="I31" i="1"/>
  <c r="R32" i="5" l="1"/>
  <c r="T32" i="5"/>
  <c r="U32" i="5" s="1"/>
  <c r="L33" i="5"/>
  <c r="L34" i="5" s="1"/>
  <c r="K34" i="5"/>
  <c r="I37" i="1"/>
  <c r="I33" i="1"/>
  <c r="I41" i="1"/>
  <c r="I45" i="1"/>
  <c r="I49" i="1"/>
  <c r="I53" i="1"/>
  <c r="I57" i="1"/>
  <c r="I61" i="1"/>
  <c r="I65" i="1"/>
  <c r="I69" i="1"/>
  <c r="I73" i="1"/>
  <c r="I77" i="1"/>
  <c r="I81" i="1"/>
  <c r="I85" i="1"/>
  <c r="I93" i="1"/>
  <c r="I96" i="1"/>
  <c r="I100" i="1"/>
  <c r="I104" i="1"/>
  <c r="I109" i="1"/>
  <c r="I34" i="1"/>
  <c r="I48" i="1"/>
  <c r="I52" i="1"/>
  <c r="I56" i="1"/>
  <c r="I60" i="1"/>
  <c r="I64" i="1"/>
  <c r="I68" i="1"/>
  <c r="I71" i="1"/>
  <c r="I76" i="1"/>
  <c r="I80" i="1"/>
  <c r="I84" i="1"/>
  <c r="I88" i="1"/>
  <c r="I92" i="1"/>
  <c r="I95" i="1"/>
  <c r="I99" i="1"/>
  <c r="I108" i="1"/>
  <c r="I29" i="1"/>
  <c r="H123" i="1"/>
  <c r="I123" i="1" s="1"/>
  <c r="I26" i="1"/>
  <c r="I25" i="1"/>
  <c r="I21" i="1"/>
  <c r="I24" i="1"/>
  <c r="I20" i="1"/>
  <c r="I27" i="1"/>
  <c r="I23" i="1"/>
  <c r="I28" i="1"/>
  <c r="I19" i="1"/>
  <c r="H136" i="1"/>
  <c r="I136" i="1" s="1"/>
  <c r="H125" i="1"/>
  <c r="I125" i="1" s="1"/>
  <c r="I17" i="1"/>
  <c r="I22" i="1" l="1"/>
  <c r="C26" i="5" s="1"/>
  <c r="H135" i="1"/>
  <c r="I135" i="1" s="1"/>
  <c r="H134" i="1"/>
  <c r="I134" i="1" s="1"/>
  <c r="H131" i="1"/>
  <c r="I131" i="1" s="1"/>
  <c r="H133" i="1"/>
  <c r="I133" i="1" s="1"/>
  <c r="H127" i="1"/>
  <c r="I127" i="1" s="1"/>
  <c r="H129" i="1"/>
  <c r="I129" i="1" s="1"/>
  <c r="H132" i="1"/>
  <c r="I132" i="1" s="1"/>
  <c r="H130" i="1"/>
  <c r="I130" i="1" s="1"/>
  <c r="H128" i="1"/>
  <c r="I128" i="1" s="1"/>
  <c r="H124" i="1"/>
  <c r="I124" i="1" s="1"/>
  <c r="I13" i="1"/>
  <c r="I184" i="1" l="1"/>
  <c r="H126" i="1"/>
  <c r="I126" i="1" s="1"/>
  <c r="I137" i="1" l="1"/>
  <c r="I15" i="1"/>
  <c r="I7" i="1"/>
  <c r="J176" i="1" l="1"/>
  <c r="K57" i="7"/>
  <c r="L57" i="7" s="1"/>
  <c r="K57" i="6"/>
  <c r="L57" i="6" s="1"/>
  <c r="C29" i="5"/>
  <c r="I11" i="1"/>
  <c r="I16" i="1"/>
  <c r="J17" i="1" s="1"/>
  <c r="K18" i="1" s="1"/>
  <c r="L18" i="1" s="1"/>
  <c r="I12" i="1"/>
  <c r="I8" i="1"/>
  <c r="J9" i="1" s="1"/>
  <c r="K10" i="1" s="1"/>
  <c r="L10" i="1" s="1"/>
  <c r="E29" i="5" l="1"/>
  <c r="J13" i="1"/>
  <c r="K14" i="1" s="1"/>
  <c r="L14" i="1" s="1"/>
  <c r="H117" i="1"/>
  <c r="I117" i="1" s="1"/>
  <c r="C25" i="5" l="1"/>
  <c r="C22" i="5"/>
  <c r="F22" i="5" s="1"/>
  <c r="H18" i="1"/>
  <c r="I18" i="1" s="1"/>
  <c r="H10" i="1"/>
  <c r="I10" i="1" s="1"/>
  <c r="C21" i="5"/>
  <c r="C18" i="5"/>
  <c r="H14" i="1"/>
  <c r="I14" i="1" s="1"/>
  <c r="G29" i="5"/>
  <c r="S29" i="5" s="1"/>
  <c r="H118" i="1"/>
  <c r="F14" i="5" l="1"/>
  <c r="G14" i="5" s="1"/>
  <c r="S14" i="5" s="1"/>
  <c r="C9" i="5"/>
  <c r="T29" i="5"/>
  <c r="U29" i="5" s="1"/>
  <c r="R29" i="5"/>
  <c r="I118" i="1"/>
  <c r="I120" i="1" l="1"/>
  <c r="J117" i="1"/>
  <c r="I162" i="1"/>
  <c r="I161" i="1"/>
  <c r="I167" i="1"/>
  <c r="I168" i="1"/>
  <c r="I169" i="1"/>
  <c r="I170" i="1"/>
  <c r="I171" i="1"/>
  <c r="I166" i="1"/>
  <c r="F167" i="1"/>
  <c r="F168" i="1"/>
  <c r="F169" i="1"/>
  <c r="F170" i="1"/>
  <c r="F171" i="1"/>
  <c r="F166" i="1"/>
  <c r="J118" i="1" l="1"/>
  <c r="C28" i="5"/>
  <c r="I172" i="1"/>
  <c r="I163" i="1" s="1"/>
  <c r="F28" i="5" l="1"/>
  <c r="F30" i="5" s="1"/>
  <c r="C30" i="5"/>
  <c r="I173" i="1"/>
  <c r="I158" i="1"/>
  <c r="G28" i="5" l="1"/>
  <c r="S28" i="5" s="1"/>
  <c r="D31" i="5"/>
  <c r="G30" i="5"/>
  <c r="S30" i="5" s="1"/>
  <c r="J156" i="1"/>
  <c r="C31" i="5"/>
  <c r="I5" i="1"/>
  <c r="I3" i="1"/>
  <c r="I4" i="1"/>
  <c r="R28" i="5" l="1"/>
  <c r="C33" i="5"/>
  <c r="C34" i="5" s="1"/>
  <c r="D30" i="5"/>
  <c r="T28" i="5"/>
  <c r="J5" i="1"/>
  <c r="K6" i="1" s="1"/>
  <c r="L6" i="1" s="1"/>
  <c r="L19" i="1" s="1"/>
  <c r="T30" i="5" l="1"/>
  <c r="U28" i="5"/>
  <c r="C13" i="5"/>
  <c r="F13" i="5" l="1"/>
  <c r="G13" i="5" s="1"/>
  <c r="S13" i="5" s="1"/>
  <c r="H6" i="1"/>
  <c r="I6" i="1" s="1"/>
  <c r="I111" i="1" s="1"/>
  <c r="K111" i="1" s="1"/>
  <c r="K31" i="6" l="1"/>
  <c r="L31" i="6" s="1"/>
  <c r="I159" i="1"/>
  <c r="K31" i="7"/>
  <c r="L31" i="7" s="1"/>
  <c r="I175" i="1" l="1"/>
  <c r="J160" i="1"/>
  <c r="V8" i="5" s="1"/>
  <c r="I176" i="1"/>
  <c r="J159" i="1"/>
  <c r="E31" i="5" l="1"/>
  <c r="I186" i="1"/>
  <c r="I188" i="1" s="1"/>
  <c r="H175" i="1"/>
  <c r="I177" i="1"/>
  <c r="I181" i="1" s="1"/>
  <c r="J174" i="1"/>
  <c r="J173" i="1"/>
  <c r="K176" i="1"/>
  <c r="L176" i="1" s="1"/>
  <c r="I178" i="1" l="1"/>
  <c r="I98" i="7" s="1"/>
  <c r="J98" i="7" s="1"/>
  <c r="E33" i="5"/>
  <c r="E34" i="5" s="1"/>
  <c r="F31" i="5"/>
  <c r="F33" i="5" s="1"/>
  <c r="E30" i="5"/>
  <c r="D33" i="5"/>
  <c r="D34" i="5" s="1"/>
  <c r="F18" i="5"/>
  <c r="F17" i="5"/>
  <c r="G17" i="5" s="1"/>
  <c r="F21" i="5"/>
  <c r="G21" i="5" s="1"/>
  <c r="S21" i="5" s="1"/>
  <c r="F25" i="5"/>
  <c r="G25" i="5" s="1"/>
  <c r="S25" i="5" s="1"/>
  <c r="R17" i="5" l="1"/>
  <c r="S17" i="5"/>
  <c r="I100" i="6"/>
  <c r="J100" i="6" s="1"/>
  <c r="G18" i="5"/>
  <c r="F34" i="5"/>
  <c r="R25" i="5"/>
  <c r="R10" i="5"/>
  <c r="T17" i="5"/>
  <c r="U17" i="5" s="1"/>
  <c r="R13" i="5"/>
  <c r="R14" i="5"/>
  <c r="T25" i="5"/>
  <c r="U25" i="5" s="1"/>
  <c r="G22" i="5"/>
  <c r="R21" i="5"/>
  <c r="T21" i="5"/>
  <c r="U21" i="5" s="1"/>
  <c r="R22" i="5" l="1"/>
  <c r="S22" i="5"/>
  <c r="R18" i="5"/>
  <c r="S18" i="5"/>
  <c r="G31" i="5"/>
  <c r="S31" i="5" s="1"/>
  <c r="T13" i="5"/>
  <c r="R30" i="5"/>
  <c r="T10" i="5" l="1"/>
  <c r="U10" i="5" s="1"/>
  <c r="U13" i="5"/>
  <c r="G33" i="5"/>
  <c r="T31" i="5"/>
  <c r="R31" i="5"/>
  <c r="G34" i="5" l="1"/>
  <c r="S33" i="5"/>
  <c r="T33" i="5"/>
  <c r="T34" i="5" s="1"/>
  <c r="U31" i="5"/>
  <c r="U33" i="5" s="1"/>
  <c r="R33" i="5"/>
  <c r="R34" i="5" s="1"/>
  <c r="U30" i="5" l="1"/>
  <c r="U34" i="5" s="1"/>
</calcChain>
</file>

<file path=xl/sharedStrings.xml><?xml version="1.0" encoding="utf-8"?>
<sst xmlns="http://schemas.openxmlformats.org/spreadsheetml/2006/main" count="1129" uniqueCount="327">
  <si>
    <t>Сервер-лезвие</t>
  </si>
  <si>
    <t>Шасси для серверов-лезвий</t>
  </si>
  <si>
    <t>Cервер системы мониторинга</t>
  </si>
  <si>
    <t>Наименование</t>
  </si>
  <si>
    <t>№ п/п</t>
  </si>
  <si>
    <t>Цена без НДС, руб</t>
  </si>
  <si>
    <t>Сервера системы вещания</t>
  </si>
  <si>
    <t>Подсистема транскодирования</t>
  </si>
  <si>
    <t>IP-видеокамера 8Mp</t>
  </si>
  <si>
    <t>Cистема хранения данных на 40 Тб</t>
  </si>
  <si>
    <t>Коммутационное оборудование ЦОД</t>
  </si>
  <si>
    <t>3IET04-SDP Модуль коннектор. Количественная лицензия простого IP оборудования</t>
  </si>
  <si>
    <t xml:space="preserve">3I-NRI-NMS-ADP Модуль Адаптер к внешним АСУ. Коллектор для системы Технического учета. Продуктивная лицензия. </t>
  </si>
  <si>
    <t xml:space="preserve">3I-FM-NMS-ADP Модуль Адаптер к внешним АСУ. Коллектор для системы мониторинга. Продуктивная лицензия. </t>
  </si>
  <si>
    <t>Стоимость без НДС, руб</t>
  </si>
  <si>
    <t>Сумма без НДС, руб</t>
  </si>
  <si>
    <t>Тип оборудования</t>
  </si>
  <si>
    <t>Состав</t>
  </si>
  <si>
    <t>Кол-во</t>
  </si>
  <si>
    <t>Ед.изм.</t>
  </si>
  <si>
    <t>Дисплей Тип 1</t>
  </si>
  <si>
    <t>Дисплей Тип 2</t>
  </si>
  <si>
    <t>Дисплей Тип 3</t>
  </si>
  <si>
    <t>Дисплей Тип 4</t>
  </si>
  <si>
    <t>Цифровой дисплей</t>
  </si>
  <si>
    <t>шт.</t>
  </si>
  <si>
    <t>1. Оборудование</t>
  </si>
  <si>
    <t>1</t>
  </si>
  <si>
    <t>2</t>
  </si>
  <si>
    <t>3</t>
  </si>
  <si>
    <t>4</t>
  </si>
  <si>
    <t>5</t>
  </si>
  <si>
    <t>6</t>
  </si>
  <si>
    <t>7</t>
  </si>
  <si>
    <t>8</t>
  </si>
  <si>
    <t>2. Таможенные расходы</t>
  </si>
  <si>
    <t>4. Программное обеспечение</t>
  </si>
  <si>
    <t>9</t>
  </si>
  <si>
    <t>10</t>
  </si>
  <si>
    <t>Вычислительный модуль</t>
  </si>
  <si>
    <t>Cистема хранения данных</t>
  </si>
  <si>
    <t>13</t>
  </si>
  <si>
    <t>Итого стоимость оборудования</t>
  </si>
  <si>
    <t>Итого стоимость Программного обеспечения</t>
  </si>
  <si>
    <t>5. Работы</t>
  </si>
  <si>
    <t>Инженер</t>
  </si>
  <si>
    <t>Сетевой инженер</t>
  </si>
  <si>
    <t xml:space="preserve">Руководитель проекта </t>
  </si>
  <si>
    <t>Тестировщик</t>
  </si>
  <si>
    <t>Технический писатель</t>
  </si>
  <si>
    <t>Водитель</t>
  </si>
  <si>
    <t>Главный инженер</t>
  </si>
  <si>
    <t>чел./час</t>
  </si>
  <si>
    <t>п/п</t>
  </si>
  <si>
    <t>Итого ФОТ</t>
  </si>
  <si>
    <t>Инженер-проектировщик</t>
  </si>
  <si>
    <t>Старший инженер монтажник</t>
  </si>
  <si>
    <t>Машины и механизмы</t>
  </si>
  <si>
    <t>маш/час</t>
  </si>
  <si>
    <t>Аренда  а/м ГАЗель Next (дизель) до 2т.</t>
  </si>
  <si>
    <t>Аренда складского помещения класса B (400 м2)</t>
  </si>
  <si>
    <t>руб/мес</t>
  </si>
  <si>
    <t>Аренда производственного помещения класса B (158 м2)</t>
  </si>
  <si>
    <t>Административно-управленческий персонал</t>
  </si>
  <si>
    <t>Статьи отчислений</t>
  </si>
  <si>
    <t>ЗП</t>
  </si>
  <si>
    <t>ЗП за год</t>
  </si>
  <si>
    <t>Коэф. Участия</t>
  </si>
  <si>
    <t>Генеральный директор</t>
  </si>
  <si>
    <t>Главный бухгалтер</t>
  </si>
  <si>
    <t>Технический директор</t>
  </si>
  <si>
    <t>Бухгалтер</t>
  </si>
  <si>
    <t>Взносы и обязательные платежи (30,2 от ФОТ)</t>
  </si>
  <si>
    <t>6. Итого прямые расходы (сумма итогов по пунктам 1,2,3,4,5)</t>
  </si>
  <si>
    <t>7. Накладные расходы</t>
  </si>
  <si>
    <t>Итого ФОТ АУП за 9 месяцев</t>
  </si>
  <si>
    <t>Специалист по закупкам</t>
  </si>
  <si>
    <t>ИТОГО накладные расходы</t>
  </si>
  <si>
    <t>8. Себестоимость (п.6+п.7)</t>
  </si>
  <si>
    <t>10. НДС (20%)</t>
  </si>
  <si>
    <t>11. ИТОГО (п.8+ п.9+ п.10)</t>
  </si>
  <si>
    <t>Должность</t>
  </si>
  <si>
    <t>Программное обеспечение (Инити)</t>
  </si>
  <si>
    <t>Монтажник</t>
  </si>
  <si>
    <t>Бригадир монтажников</t>
  </si>
  <si>
    <t>Кладовщик-экспедитор</t>
  </si>
  <si>
    <t>Грузчик</t>
  </si>
  <si>
    <t>Программное обеспечение (Elecard Devices)</t>
  </si>
  <si>
    <t>3. Гарантия и техническая поддержка на оборудование и ПО</t>
  </si>
  <si>
    <t>Техническая поддержка на 1 год</t>
  </si>
  <si>
    <t>Итого гарантия и техническая поддержка на оборудование и ПО</t>
  </si>
  <si>
    <t>EEP-1PO ПО вычислительного модуля</t>
  </si>
  <si>
    <t>EBOROP-2CPO ПО мониторинга характеристик качества вещания контента на рекламной панели</t>
  </si>
  <si>
    <t>EVCNVODS-1PO ПО сервера вещания</t>
  </si>
  <si>
    <t>ECW-1PO ПО сервера транскодирования</t>
  </si>
  <si>
    <t xml:space="preserve">EBOROS-400CH ПО сервера мониторинга качества вещания контента </t>
  </si>
  <si>
    <t>SKY2E03-00C</t>
  </si>
  <si>
    <t xml:space="preserve"> 3I-S-MNT-1Y. Поддержка производителя по плану "Стандартный". За 1  календарный год.</t>
  </si>
  <si>
    <t>Разработка стационной документации</t>
  </si>
  <si>
    <t>Услуги сторонних организаций</t>
  </si>
  <si>
    <t>Программное обеспечение вычислительного модуля</t>
  </si>
  <si>
    <t>Программное обеспечение дисплея</t>
  </si>
  <si>
    <t>Программное обеспечение тех.учета дисплея</t>
  </si>
  <si>
    <t>Программное обеспечение мониторинга вычислительного модуля</t>
  </si>
  <si>
    <t>Программное обеспечение мониторинга дисплея</t>
  </si>
  <si>
    <t>Программное обеспечение тех.учета вычислительного модуля</t>
  </si>
  <si>
    <t>Программное обеспечение мониторинга камеры</t>
  </si>
  <si>
    <t>Программное обеспечение тех.учета камеры</t>
  </si>
  <si>
    <t>Программное обеспечение мониторинга серверы и комутаторы</t>
  </si>
  <si>
    <t>Программное обеспечение тех.учета серверы и комутаторы</t>
  </si>
  <si>
    <t>833105-B21 HPE ProLiant m710x E3-1585Lv5  3.1GHz 4-core 45W Configure-to-order Server Cartridge</t>
  </si>
  <si>
    <t>863953-B21 HPE 16GB (1x16GB) ECC Dual Rank x8 DDR4-2400 CAS-15-15-15 Unbuffered SO-DIMM Field Upgradable Kit</t>
  </si>
  <si>
    <t>880262-B21 HPE 256GB NVMe x4 Lanes Read Intensive M.2 2280 1yr Wty Extended Temperature SSD</t>
  </si>
  <si>
    <t>880266-B21 HPE 1TB NVMe x4 Lanes Read Intensive M.2 2280 1yr Wty Extended Temperature SSD</t>
  </si>
  <si>
    <t>871947-B21 HPE Edgeline EL1000/EL4000 System Console USB to RS232 Cable Kit</t>
  </si>
  <si>
    <t>720479-B21 HPE 800W Flex Slot Platinum Hot Plug Power Supply Kit</t>
  </si>
  <si>
    <t>868577-B21 HPE Edgeline EL4000 Full Rack Rail Kit</t>
  </si>
  <si>
    <t>HA114A1     5BU HPE Startup Edgeline EL4000 SVC</t>
  </si>
  <si>
    <t>P19717-B21 HPE DL380 Gen10 8LFF NC CTO Svr</t>
  </si>
  <si>
    <t>P23549-L21 Intel Xeon-Silver 4210R (2.4GHz/10-core/100W) FIO Processor Kit for HPE ProLiant DL380 Gen10</t>
  </si>
  <si>
    <t>P00924-B21 HPE 32GB (1x32GB) Dual Rank x4 DDR4-2933 CAS-21-21-21 Registered Smart Memory Kit</t>
  </si>
  <si>
    <t>867805-B21 HPE DL38X Gen10 8LFF Front 2SFF SAS/SATA HDD Kit</t>
  </si>
  <si>
    <t>P05932-B21 HPE 960GB SATA 6G Read Intensive SFF (2.5in) SC 3yr Wty Digitally Signed Firmware SSD</t>
  </si>
  <si>
    <t>881785-B21 HPE 12TB SATA 6G Midline 7.2K LFF (3.5in) SC 1yr Wty Helium 512e Digitally Signed Firmware HDD</t>
  </si>
  <si>
    <t>P04529-B21 HPE 800GB SAS 12G Mixed Use LFF (3.5in) SCC 3yr Wty Digitally Signed Firmware SSD</t>
  </si>
  <si>
    <t>817753-B21 HPE Ethernet 10/25Gb 2-port 640SFP28 Adapter</t>
  </si>
  <si>
    <t>P01366-B21 HPE 96W Smart Storage Lithium-ion Battery with 145mm Cable Kit</t>
  </si>
  <si>
    <t>804338-B21 HPE Smart Array P816i-a SR Gen10 (16 Internal Lanes/4GB Cache/SmartCache) 12G SAS Modular Controller</t>
  </si>
  <si>
    <t>665240-B21 HPE Ethernet 1Gb 4-port 366FLR Adapter</t>
  </si>
  <si>
    <t>455883-B21 HPE BladeSystem c-Class 10Gb SFP+ SR Transceiver</t>
  </si>
  <si>
    <t>865414-B21 HPE 800W Flex Slot Platinum Hot Plug Low Halogen Power Supply Kit</t>
  </si>
  <si>
    <t>733662-B21 HPE 2U Large Form Factor Easy Install Rail Kit</t>
  </si>
  <si>
    <t>H7J34A5     WAH HPE DL38x Gen10 Support</t>
  </si>
  <si>
    <t>HA114A1     5A6 HPE Startup 300 Series OS SVC</t>
  </si>
  <si>
    <t>P8Y90AAE Scality RING Single Site Hardware Lifetime License per TB (Min 200TB) E-LTU for HPE Servers</t>
  </si>
  <si>
    <t>P8Y95AAE Scality RING Installation Package (up to 3 Geographical Sites) E-LTU</t>
  </si>
  <si>
    <t>P8Z01AAE Scality RING 24/7 Maintenance and Support Single Site per TB (Min 200TB) per year E-LTU</t>
  </si>
  <si>
    <t>H7B28A1 HPE Storage Consulting 5 Day Onsite SVC</t>
  </si>
  <si>
    <t>879808-B21 HPE Edgeline EL4000 10GbE 2xSFP+ v2 Switch System</t>
  </si>
  <si>
    <t>P05892-B21 HPE Edgeline 960GB NVMe x4 Lanes Mixed Use M.2 22110 3yr Wty Extended Temperature SSD</t>
  </si>
  <si>
    <t>P06963-B21 HPE ProLiant DL20 Gen10 4SFF Configure-to-order Server</t>
  </si>
  <si>
    <t>P17104-L21 Intel Xeon E-2234 (3.6GHz/4-core/71W) FIO Processor Kit for HPE ProLiant DL20 Gen10</t>
  </si>
  <si>
    <t>879507-B21 HPE 16GB (1x16GB) Dual Rank x8 DDR4-2666 CAS-19-19-19 Unbuffered Standard Memory Kit</t>
  </si>
  <si>
    <t>P06671-B21 HPE DL20 Gen10 2SFF HDD Enablement Kit</t>
  </si>
  <si>
    <t>872475-B21 HPE 300GB SAS 12G Enterprise 10K SFF (2.5in) SC 3yr Wty Digitally Signed Firmware HDD</t>
  </si>
  <si>
    <t>872479-B21 HPE 1.2TB SAS 12G Enterprise 10K SFF (2.5in) SC 3yr Wty Digitally Signed Firmware HDD</t>
  </si>
  <si>
    <t>P09145-B21 HPE DL20 Gen10 PCIe Low Profile Riser Kit</t>
  </si>
  <si>
    <t>811546-B21 HPE Ethernet 1Gb 4-port 366T Adapter</t>
  </si>
  <si>
    <t>782961-B21 HPE Smart Array Controller Batteries</t>
  </si>
  <si>
    <t>869081-B21 HPE Smart Array P408i-a SR Gen10 (8 Internal Lanes/2GB Cache) 12G SAS Modular LH Controller</t>
  </si>
  <si>
    <t>865408-B21 HPE 500W Flex Slot Platinum Hot Plug Low Halogen Power Supply Kit</t>
  </si>
  <si>
    <t>P8B31A HPE OneView w/o iLO including 3yr 24x7 Support 1-server FIO LTU</t>
  </si>
  <si>
    <t>P06722-B21 HPE DL20 Gen10 RPS Enablement FIO Kit</t>
  </si>
  <si>
    <t>P06687-B21 HPE DL20/ML30 Gen10 M.2/Dedicated iLO and Serial Port Kit</t>
  </si>
  <si>
    <t>775612-B21 HPE 1U Short Friction Rail Kit</t>
  </si>
  <si>
    <t>H7J34A5     SVP HPE One View w/o Ilo Support</t>
  </si>
  <si>
    <t>HA114A1     5T6 HPE Startup Entry ML DL Svr SVC</t>
  </si>
  <si>
    <t>Коммутаторы для подключения серверов</t>
  </si>
  <si>
    <t>JL625A Aruba 8325-48Y8C BF 6 F 2 PS Bundle</t>
  </si>
  <si>
    <t>H7J34A5#X7Q HPE 5Y Foundation Care 24x7 Service - HPE Aruba 8325-48 Support  [for JL625A]</t>
  </si>
  <si>
    <t>HA114A1#5RN HPE Installation and Startup Service - HPE Top of Rack Startup SVC  [for JL625A]</t>
  </si>
  <si>
    <t>JL483B Aruba X474 4-post Rack Kit</t>
  </si>
  <si>
    <t>J8177D Aruba 1G SFP RJ45 T 100m Cat5e Transceiver</t>
  </si>
  <si>
    <t>J9150D Aruba 10G SFP+ LC SR 300m MMF Transceiver</t>
  </si>
  <si>
    <t>JL309A Aruba 100G QSFP28 MPO SR4 100m 12-fiber MMF Transceiver</t>
  </si>
  <si>
    <t>JL307A Aruba 100G QSFP28-QSFP28 3m DAC Cable</t>
  </si>
  <si>
    <t>JL488A Aruba 25G SFP28 to SFP28 3m DAC Cable</t>
  </si>
  <si>
    <t>Коммутаторы сети управления</t>
  </si>
  <si>
    <t>JL254A Aruba 2930F 48G 4SFP+ Switch</t>
  </si>
  <si>
    <t>H7J34A5#WKM HPE 5Y Foundation Care 24x7 Service - HPE Aruba 2930F 48G 4SFP+ Switch Supp  [for JL254A]</t>
  </si>
  <si>
    <t>HA114A1#5GN HPE Installation and Startup Service - HPE Ntwrks Stckbl Lgcy Inst Startup SVC  [for JL254A]</t>
  </si>
  <si>
    <t>J9283D Aruba 10G SFP+ to SFP+ 3m DAC Cable</t>
  </si>
  <si>
    <t>Кабели</t>
  </si>
  <si>
    <t>Q1H66A HPE Premier Flex MPO/MPO OM4 12-fiber 15m Cable</t>
  </si>
  <si>
    <t>QK735A HPE Premier Flex LC/LC OM4 2-fiber 15m Cable</t>
  </si>
  <si>
    <t xml:space="preserve">C7542A Ethernet Cable 50 ft CAT5 RJ45 M/M - </t>
  </si>
  <si>
    <t>%</t>
  </si>
  <si>
    <t>Программное обеспечение  мониторинга качества вещания</t>
  </si>
  <si>
    <t>Программное обеспечение  транскодирования</t>
  </si>
  <si>
    <t>Программное обеспечение  сервера вещания</t>
  </si>
  <si>
    <t>Продуктивная лицензия монитоинга</t>
  </si>
  <si>
    <t>BOE GM98A-M</t>
  </si>
  <si>
    <t>BOE VE49L-A (3x3)</t>
  </si>
  <si>
    <t>BOE SM65AM（Landscape）</t>
  </si>
  <si>
    <t>BOE SM86AM</t>
  </si>
  <si>
    <t xml:space="preserve"> Расчет начальной (максимальной) цены контракта </t>
  </si>
  <si>
    <t>на поставку и монтаж оборудования для воспроизведения и управления контентом</t>
  </si>
  <si>
    <t>Категории</t>
  </si>
  <si>
    <t>Цены по Коммерческим предложениям</t>
  </si>
  <si>
    <t xml:space="preserve">Средняя цена за единицу </t>
  </si>
  <si>
    <t>Начальная (максимальная) цена Контракта</t>
  </si>
  <si>
    <t xml:space="preserve">Наименование </t>
  </si>
  <si>
    <t>Х</t>
  </si>
  <si>
    <t>X</t>
  </si>
  <si>
    <t>Наименование товара,работы, услуги и  технические характеристики.</t>
  </si>
  <si>
    <t>1.1.</t>
  </si>
  <si>
    <t>1.1.1.</t>
  </si>
  <si>
    <t>Цифровой дисплей Тип 1 ( включая IP видеокамеру и вычислительный модуль)</t>
  </si>
  <si>
    <t>Количество единиц товара</t>
  </si>
  <si>
    <t>Единица измерения</t>
  </si>
  <si>
    <t>шт</t>
  </si>
  <si>
    <t>Цена за единицу</t>
  </si>
  <si>
    <t>1.1.2.</t>
  </si>
  <si>
    <t>Цифровой дисплей Тип 2</t>
  </si>
  <si>
    <t>1.1.3.</t>
  </si>
  <si>
    <t>Цифровой дисплей Тип 3</t>
  </si>
  <si>
    <t>1.1.4.</t>
  </si>
  <si>
    <t>Цифровой дисплей Тип 4</t>
  </si>
  <si>
    <t>Стоимость программно-аппаратной части (ПО с учетом гарании и технической поддержки + сервера системы вещания, подсистема транскодированиия, система хранения данных, сервер системы мониторинга, коммутационное оборудование ЦОД)</t>
  </si>
  <si>
    <t>Стоимость выполнения работ, включая услуги сторонних организаций на разработку стационной документации</t>
  </si>
  <si>
    <t>Стоимость в руб. в т.ч. НДС 20%</t>
  </si>
  <si>
    <t>Должность работника</t>
  </si>
  <si>
    <t>Кол-во работников, чел.</t>
  </si>
  <si>
    <t>Кол-во календаных дней участия в работах, дн.</t>
  </si>
  <si>
    <t>ПО</t>
  </si>
  <si>
    <t>Остальное</t>
  </si>
  <si>
    <t>Накладные</t>
  </si>
  <si>
    <t>Прибыль</t>
  </si>
  <si>
    <t>НДС</t>
  </si>
  <si>
    <t>Итого КП1</t>
  </si>
  <si>
    <t>Дисплей, тип 1</t>
  </si>
  <si>
    <t>Дисплей, тип 2</t>
  </si>
  <si>
    <t>Дисплей, тип 3</t>
  </si>
  <si>
    <t>Дисплей, тип 4</t>
  </si>
  <si>
    <t>Коммутаторы для подключения серверов, коммутаторы сети управления</t>
  </si>
  <si>
    <t>Программное обеспечение (Мониторинг)</t>
  </si>
  <si>
    <t>Поддержка 1 год</t>
  </si>
  <si>
    <t>Программное обеспечение (Платформа)</t>
  </si>
  <si>
    <t>EEP-1PO ПО</t>
  </si>
  <si>
    <t>EBOROP-2CPO ПО мониторинга   вещания контента на дисплее</t>
  </si>
  <si>
    <t>3IET04-SDP, могниторинг</t>
  </si>
  <si>
    <t>3I-NRI-NMS-ADP, тех.учет</t>
  </si>
  <si>
    <t xml:space="preserve">EBOROS-400CH  мониторинг качества вещания </t>
  </si>
  <si>
    <t>ECW-1PO ПО  транскодирования</t>
  </si>
  <si>
    <t>EVCNVODS-1PO ПО  вещания</t>
  </si>
  <si>
    <t>3I-FM-NMS-ADP Коллектор для системы мониторинга</t>
  </si>
  <si>
    <t>Старшиий инженер</t>
  </si>
  <si>
    <t>Инженер по коммуникациям</t>
  </si>
  <si>
    <t>Специалист по логистике</t>
  </si>
  <si>
    <t>Грузчик-экспедитор</t>
  </si>
  <si>
    <t>Главный инженер проекта</t>
  </si>
  <si>
    <t>Специалист по документации</t>
  </si>
  <si>
    <t>11</t>
  </si>
  <si>
    <t>Аренда складского помещения класса B (600 м2)</t>
  </si>
  <si>
    <t>Аренда производственного помещения  (200м2)</t>
  </si>
  <si>
    <t>Экономист</t>
  </si>
  <si>
    <t>Юрист</t>
  </si>
  <si>
    <t>Итого ФОТ АУП</t>
  </si>
  <si>
    <t>8. Себестоимость (п.6+п.7+УСО)</t>
  </si>
  <si>
    <t>Итого КП2</t>
  </si>
  <si>
    <t>Стоимость экранов</t>
  </si>
  <si>
    <t>Итого КП3</t>
  </si>
  <si>
    <t>Проектировщик</t>
  </si>
  <si>
    <t>Логист</t>
  </si>
  <si>
    <t>Аренда складского помещения класса B (350 м2)</t>
  </si>
  <si>
    <t>Аренда производственного помещения класса В  (150м2)</t>
  </si>
  <si>
    <t>Администратор</t>
  </si>
  <si>
    <t>9. Плановая прибыль</t>
  </si>
  <si>
    <t>12</t>
  </si>
  <si>
    <t>879808-B21  B19 HPE EL4000 10G 2xSFP+ v2 Switch Sys (программная прошивка, входит в состав оборудования арт.879808-B21)</t>
  </si>
  <si>
    <t>879808-B21  B19 HPE EL4000 10G 2xSFP+ v2 Switch Sys (программная прошивка, входит в состав оборудования арт. 879808-B21)</t>
  </si>
  <si>
    <t>P06963-B21 B19 HPE ProLiant DL20 Gen10 4SFF Europe-Multilingual Localization Configure-to-order Server (поддержка мульти-языкового пакета, входит в состав оборудования арт. P06963-B21)</t>
  </si>
  <si>
    <t>JL625A      B2C   INCLUDED: Jumper Cable – ROW (кабельный органайзер, входит в состав оборудования арт.JL625A)</t>
  </si>
  <si>
    <t>JL625A      B2C   INCLUDED: Jumper Cable – ROW (кабельный органайзер, входит в состав оборудования арт. JL254A)</t>
  </si>
  <si>
    <t>Кол-во рабочих дней участия в работах, дн.</t>
  </si>
  <si>
    <t>PHILIPS  98BDL4150D/00</t>
  </si>
  <si>
    <t>AXIS P1378-LE</t>
  </si>
  <si>
    <t>Fujitsu INTELLIEDGE™ A700</t>
  </si>
  <si>
    <t>PHILIPS BDL4970EL/00 (3x3)</t>
  </si>
  <si>
    <t>PHILIPS 65BDL4150D/02</t>
  </si>
  <si>
    <t>PHILIPS 86BDL4150D/00</t>
  </si>
  <si>
    <t>Fujitsu PRIMERGY BX2560 M2 (Intel Xeon E5-2623 v4, 4c/8t, 2.6 GHz, DDR4 1x16 GB ECC, SSD M.2 1 TB)</t>
  </si>
  <si>
    <t>Fujitsu PRIMERGY BX400 S1</t>
  </si>
  <si>
    <t>Fujitsu PRIMERGY BX2560 M2 (Intel Xeon E5-2637 v4, 4c/8t, 3.5 GHz, DDR4 1x16 GB ECC, SSD M.2 1 TB)</t>
  </si>
  <si>
    <t>Fujitsu ETERNUS AF150 S3 (CPU 4c, 2.2GHz, DDR4 32GB, 7xHDD 8 TB w spare, 2x1Gb Ethernet, 4 SFP+)</t>
  </si>
  <si>
    <t>Fujitsu PRIMERGY RX1330 M4 S26361-K1640-V511 (Intel Xeon E-2174G, 16GB 2RX8 DDR4-2666 U ECC, 4xHDD SAS 1.2TB, 2xHDD SAS 300GB, PFC EP LPE32002 2X 32GB BROADCOM LP, PLAN EP QL41134 4X 10GBASE-T, PLAN EP X550-T2 2X10GBASE-T LP)</t>
  </si>
  <si>
    <t xml:space="preserve">Fujitsu ExtremeSwitching VDX 6740T </t>
  </si>
  <si>
    <t>LG 98UH5E-B</t>
  </si>
  <si>
    <t>Pelco IBP Sarix GFC IP 4K Bullet Camera</t>
  </si>
  <si>
    <t>DEPO Neos CD202</t>
  </si>
  <si>
    <t>LG 49SH7JB,  3x3</t>
  </si>
  <si>
    <t>LG 65UH5J-B</t>
  </si>
  <si>
    <t>LG 86UH5E-B</t>
  </si>
  <si>
    <t>DEPO Storm 5200BL</t>
  </si>
  <si>
    <t>DEPO Storm 5200B7</t>
  </si>
  <si>
    <t xml:space="preserve">DEPO Storm 52003L </t>
  </si>
  <si>
    <t>DEPO Storage 2312 7QIII6000G7/ 12HSQ/ L9380-8E/ CV/ 740W2HS/ RMK/ S123ONS5DS4HRNBDCDP</t>
  </si>
  <si>
    <t xml:space="preserve"> DEPO Storm 1450Q1 S4112/ 16GBRE1/ SATA/ 1DM128/ 1T2000G7/ 1T2000G7/ 1T2000G7/ 2GLAN/ 6D/ 3E/ PCIe/ 2SFP10SR/ IPMI+/ 2PS400/ RMK/ FP/ CA/ SONS5S/ CNS3S</t>
  </si>
  <si>
    <t>DEPO Switch 4360FK TOR/ 36x56F/ KIT/ ONS1SW w copper SFP</t>
  </si>
  <si>
    <t>Пояснения:</t>
  </si>
  <si>
    <t>Количество чел.часов водителя (Раздел.5 - Работы)</t>
  </si>
  <si>
    <t>1.</t>
  </si>
  <si>
    <t>2.</t>
  </si>
  <si>
    <t>Количество маш.часов аренды  а/м (Раздел - Машины и механизмы)</t>
  </si>
  <si>
    <t>Расчет  часов выполнен на основании предположения расчетных данных: количество рабочих дней - 105, численность водителей -15 чел., время  на 2 поездки в сутки -2часа ( 1 час туда, 1 час обратно на участок монтажа и обратно в среднем по 1 часу). Итого 105 х 15 х 1 х 2 = 3150 часов</t>
  </si>
  <si>
    <t>Расчет  часов выполнен на основании предположения расчетных данных: количество рабочих дней - 105, численность водителей -15 чел., время  на 1 поездку в сутки -2часа (1 час туда, 1 час обратно на участок монтажа и обратно в среднем по 1 часу), время на подготовку к аренде- 0,5  часа на сдачц и приёмку  . Итого 105 х 15 х 1,5 х 2 = 4725 часов</t>
  </si>
  <si>
    <t>Секретарь-референт</t>
  </si>
  <si>
    <t>Гарантия/поддержка</t>
  </si>
  <si>
    <t>Гарантия 5 лет</t>
  </si>
  <si>
    <t>Гарантия 5 лет (H7J34A5     ZZL HPE Edgeline 4000 Support)</t>
  </si>
  <si>
    <t>Гарантия 5 лет (H7J34A5     X7N HPE ProLiant DL20 Gen10 Support)</t>
  </si>
  <si>
    <t>IPC-HFW7842H-Z, IP-видеокамера 8Mp</t>
  </si>
  <si>
    <t>превышение</t>
  </si>
  <si>
    <t>СЕРВЕРА</t>
  </si>
  <si>
    <t>ТП</t>
  </si>
  <si>
    <t>Тезхническая поддержка оборудования на 1 год</t>
  </si>
  <si>
    <t>Тех.пддержка оборудования пп. 1-8</t>
  </si>
  <si>
    <t>Техническая поддерджка оборудования 1 год</t>
  </si>
  <si>
    <t xml:space="preserve">Обеспечение подменного фонда </t>
  </si>
  <si>
    <t>Затраты на подменный фонд</t>
  </si>
  <si>
    <t>Разработка станционной документации</t>
  </si>
  <si>
    <t>серувера</t>
  </si>
  <si>
    <t>фот</t>
  </si>
  <si>
    <t>накл</t>
  </si>
  <si>
    <t>1.1.5.</t>
  </si>
  <si>
    <t>Сервера+ТП</t>
  </si>
  <si>
    <t>1.1.6.</t>
  </si>
  <si>
    <t>Цена без НДС</t>
  </si>
  <si>
    <t>Поставка и монтаж оборудования для воспроизведения и управления контентом, в том числе:</t>
  </si>
  <si>
    <t>Ю.С.Пузырева</t>
  </si>
  <si>
    <t>И.Г Ромашкова</t>
  </si>
  <si>
    <t>В.В. Бобков</t>
  </si>
  <si>
    <t>Заместитель начальника службы инвестиционного развития 
Начальник центра подготовки закупок</t>
  </si>
  <si>
    <t>И.о. Начальника отдела материально-технического
снабжения Службы пассажирских сервисов</t>
  </si>
  <si>
    <t xml:space="preserve">Ведущий специалист Отдела материально-технического 
снабжения Службы пассажирских сервисов                  </t>
  </si>
  <si>
    <t>в т.ч.  НДС 20%</t>
  </si>
  <si>
    <t>Начальная (максимальная) цена Контракта с учётом оптимизации по решению заказчика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</si>
</sst>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#,##0.0000"/>
    <numFmt numFmtId="166" formatCode="0.0000000000000000"/>
    <numFmt numFmtId="167" formatCode="_-* #,##0.000\ _₽_-;\-* #,##0.000\ _₽_-;_-* &quot;-&quot;??\ _₽_-;_-@_-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8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name val="Arial"/>
      <family val="2"/>
    </font>
    <font>
      <u/>
      <sz val="12"/>
      <color theme="10"/>
      <name val="Calibri"/>
      <family val="2"/>
      <scheme val="minor"/>
    </font>
    <font>
      <sz val="24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28"/>
      <color theme="1"/>
      <name val="Times New Roman"/>
      <family val="1"/>
      <charset val="204"/>
    </font>
    <font>
      <sz val="11"/>
      <color theme="1" tint="0.34998626667073579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rgb="FFFF0000"/>
      <name val="Calibri"/>
      <family val="2"/>
      <charset val="204"/>
      <scheme val="minor"/>
    </font>
    <font>
      <sz val="18"/>
      <color theme="1" tint="0.34998626667073579"/>
      <name val="Calibri"/>
      <family val="2"/>
      <charset val="204"/>
      <scheme val="minor"/>
    </font>
    <font>
      <i/>
      <sz val="20"/>
      <color theme="1"/>
      <name val="Times New Roman"/>
      <family val="1"/>
      <charset val="204"/>
    </font>
    <font>
      <i/>
      <sz val="22"/>
      <color theme="1"/>
      <name val="Times New Roman"/>
      <family val="1"/>
      <charset val="204"/>
    </font>
    <font>
      <i/>
      <sz val="18"/>
      <color theme="1" tint="0.34998626667073579"/>
      <name val="Calibri"/>
      <family val="2"/>
      <charset val="204"/>
      <scheme val="minor"/>
    </font>
    <font>
      <i/>
      <sz val="2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20"/>
      <color rgb="FF000000"/>
      <name val="Times New Roman"/>
      <family val="1"/>
    </font>
    <font>
      <sz val="26"/>
      <color theme="1" tint="0.34998626667073579"/>
      <name val="Calibri"/>
      <family val="2"/>
      <charset val="204"/>
      <scheme val="minor"/>
    </font>
    <font>
      <sz val="22"/>
      <color theme="1" tint="0.34998626667073579"/>
      <name val="Times New Roman"/>
      <family val="1"/>
      <charset val="204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8"/>
      <color theme="1"/>
      <name val="Arial"/>
      <family val="2"/>
      <charset val="204"/>
    </font>
    <font>
      <sz val="28"/>
      <color theme="1"/>
      <name val="Calibri"/>
      <family val="2"/>
      <charset val="204"/>
      <scheme val="minor"/>
    </font>
    <font>
      <b/>
      <sz val="22"/>
      <color theme="1"/>
      <name val="Times New Roman"/>
      <family val="1"/>
      <charset val="204"/>
    </font>
    <font>
      <sz val="26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9" fontId="1" fillId="0" borderId="0" applyFont="0" applyFill="0" applyBorder="0" applyAlignment="0" applyProtection="0"/>
    <xf numFmtId="0" fontId="32" fillId="0" borderId="0">
      <alignment horizontal="left" vertical="center"/>
    </xf>
  </cellStyleXfs>
  <cellXfs count="416">
    <xf numFmtId="0" fontId="0" fillId="0" borderId="0" xfId="0"/>
    <xf numFmtId="0" fontId="2" fillId="0" borderId="1" xfId="0" applyFont="1" applyFill="1" applyBorder="1"/>
    <xf numFmtId="4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0" xfId="0" applyFont="1" applyFill="1"/>
    <xf numFmtId="0" fontId="5" fillId="0" borderId="1" xfId="0" applyFont="1" applyFill="1" applyBorder="1" applyAlignment="1">
      <alignment horizontal="left" vertical="center" wrapText="1"/>
    </xf>
    <xf numFmtId="164" fontId="3" fillId="0" borderId="1" xfId="1" applyFont="1" applyFill="1" applyBorder="1"/>
    <xf numFmtId="0" fontId="5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/>
    </xf>
    <xf numFmtId="164" fontId="8" fillId="0" borderId="7" xfId="1" applyFont="1" applyFill="1" applyBorder="1" applyAlignment="1">
      <alignment horizontal="center" vertical="center"/>
    </xf>
    <xf numFmtId="164" fontId="8" fillId="0" borderId="8" xfId="1" applyFont="1" applyFill="1" applyBorder="1" applyAlignment="1">
      <alignment horizontal="center" vertical="center"/>
    </xf>
    <xf numFmtId="164" fontId="8" fillId="0" borderId="10" xfId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64" fontId="8" fillId="0" borderId="12" xfId="1" applyFont="1" applyFill="1" applyBorder="1" applyAlignment="1">
      <alignment horizontal="center" vertical="center"/>
    </xf>
    <xf numFmtId="164" fontId="8" fillId="0" borderId="3" xfId="1" applyFont="1" applyFill="1" applyBorder="1" applyAlignment="1">
      <alignment horizontal="center" vertical="center"/>
    </xf>
    <xf numFmtId="164" fontId="3" fillId="0" borderId="4" xfId="1" applyFont="1" applyFill="1" applyBorder="1"/>
    <xf numFmtId="49" fontId="2" fillId="0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0" fontId="2" fillId="0" borderId="0" xfId="0" applyFont="1" applyFill="1"/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4" fontId="2" fillId="0" borderId="7" xfId="1" applyFont="1" applyFill="1" applyBorder="1" applyAlignment="1">
      <alignment horizontal="center" vertical="center"/>
    </xf>
    <xf numFmtId="164" fontId="2" fillId="0" borderId="8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164" fontId="2" fillId="0" borderId="1" xfId="1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right" wrapText="1"/>
    </xf>
    <xf numFmtId="0" fontId="3" fillId="0" borderId="5" xfId="0" applyFont="1" applyFill="1" applyBorder="1" applyAlignment="1">
      <alignment horizontal="left" wrapText="1"/>
    </xf>
    <xf numFmtId="0" fontId="2" fillId="0" borderId="5" xfId="0" applyFont="1" applyFill="1" applyBorder="1"/>
    <xf numFmtId="0" fontId="2" fillId="0" borderId="5" xfId="0" applyFont="1" applyFill="1" applyBorder="1" applyAlignment="1">
      <alignment horizontal="center" vertical="center"/>
    </xf>
    <xf numFmtId="164" fontId="2" fillId="0" borderId="5" xfId="1" applyFont="1" applyFill="1" applyBorder="1"/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/>
    <xf numFmtId="4" fontId="19" fillId="3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7" xfId="1" applyFont="1" applyBorder="1" applyAlignment="1">
      <alignment horizontal="center" vertical="center"/>
    </xf>
    <xf numFmtId="164" fontId="2" fillId="0" borderId="1" xfId="1" applyFont="1" applyBorder="1" applyAlignment="1">
      <alignment horizontal="center" vertical="center"/>
    </xf>
    <xf numFmtId="164" fontId="2" fillId="0" borderId="12" xfId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3" fillId="0" borderId="1" xfId="1" applyFont="1" applyBorder="1"/>
    <xf numFmtId="4" fontId="23" fillId="3" borderId="1" xfId="0" applyNumberFormat="1" applyFont="1" applyFill="1" applyBorder="1" applyAlignment="1">
      <alignment horizontal="center"/>
    </xf>
    <xf numFmtId="0" fontId="0" fillId="3" borderId="0" xfId="0" applyFill="1"/>
    <xf numFmtId="49" fontId="2" fillId="0" borderId="0" xfId="0" applyNumberFormat="1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2" fillId="0" borderId="7" xfId="0" applyFont="1" applyBorder="1"/>
    <xf numFmtId="0" fontId="3" fillId="0" borderId="7" xfId="0" applyFont="1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/>
    <xf numFmtId="0" fontId="4" fillId="4" borderId="1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center" vertical="center" wrapText="1"/>
    </xf>
    <xf numFmtId="164" fontId="2" fillId="0" borderId="8" xfId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164" fontId="2" fillId="0" borderId="1" xfId="1" applyFont="1" applyBorder="1"/>
    <xf numFmtId="164" fontId="2" fillId="0" borderId="10" xfId="1" applyFont="1" applyBorder="1"/>
    <xf numFmtId="164" fontId="2" fillId="0" borderId="12" xfId="1" applyFont="1" applyBorder="1"/>
    <xf numFmtId="164" fontId="2" fillId="0" borderId="13" xfId="1" applyFont="1" applyBorder="1"/>
    <xf numFmtId="49" fontId="2" fillId="0" borderId="16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right" wrapText="1"/>
    </xf>
    <xf numFmtId="0" fontId="3" fillId="0" borderId="4" xfId="0" applyFont="1" applyBorder="1" applyAlignment="1">
      <alignment horizontal="left" wrapText="1"/>
    </xf>
    <xf numFmtId="0" fontId="2" fillId="0" borderId="4" xfId="0" applyFont="1" applyBorder="1"/>
    <xf numFmtId="0" fontId="2" fillId="0" borderId="4" xfId="0" applyFont="1" applyBorder="1" applyAlignment="1">
      <alignment horizontal="center" vertical="center"/>
    </xf>
    <xf numFmtId="164" fontId="2" fillId="0" borderId="4" xfId="1" applyFont="1" applyBorder="1"/>
    <xf numFmtId="164" fontId="3" fillId="0" borderId="17" xfId="1" applyFont="1" applyFill="1" applyBorder="1"/>
    <xf numFmtId="49" fontId="2" fillId="0" borderId="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left" wrapText="1"/>
    </xf>
    <xf numFmtId="164" fontId="3" fillId="0" borderId="10" xfId="1" applyFont="1" applyBorder="1"/>
    <xf numFmtId="0" fontId="5" fillId="4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top"/>
    </xf>
    <xf numFmtId="164" fontId="3" fillId="0" borderId="10" xfId="1" applyFont="1" applyFill="1" applyBorder="1"/>
    <xf numFmtId="0" fontId="8" fillId="0" borderId="1" xfId="4" applyNumberFormat="1" applyFont="1" applyBorder="1" applyAlignment="1">
      <alignment horizontal="justify" vertical="justify" wrapText="1"/>
    </xf>
    <xf numFmtId="4" fontId="5" fillId="0" borderId="1" xfId="2" applyNumberFormat="1" applyFont="1" applyBorder="1" applyAlignment="1">
      <alignment vertical="justify" wrapText="1"/>
    </xf>
    <xf numFmtId="0" fontId="3" fillId="0" borderId="1" xfId="0" applyFont="1" applyBorder="1"/>
    <xf numFmtId="164" fontId="3" fillId="0" borderId="10" xfId="1" applyNumberFormat="1" applyFont="1" applyBorder="1"/>
    <xf numFmtId="164" fontId="2" fillId="0" borderId="10" xfId="1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4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wrapText="1"/>
    </xf>
    <xf numFmtId="164" fontId="2" fillId="0" borderId="10" xfId="1" applyNumberFormat="1" applyFont="1" applyBorder="1"/>
    <xf numFmtId="0" fontId="3" fillId="0" borderId="1" xfId="0" applyFont="1" applyBorder="1" applyAlignment="1">
      <alignment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right" wrapText="1"/>
    </xf>
    <xf numFmtId="0" fontId="3" fillId="0" borderId="12" xfId="0" applyFont="1" applyBorder="1" applyAlignment="1">
      <alignment wrapText="1"/>
    </xf>
    <xf numFmtId="0" fontId="2" fillId="0" borderId="12" xfId="0" applyFont="1" applyBorder="1"/>
    <xf numFmtId="0" fontId="2" fillId="0" borderId="12" xfId="0" applyFont="1" applyBorder="1" applyAlignment="1">
      <alignment horizontal="center" vertical="center"/>
    </xf>
    <xf numFmtId="164" fontId="3" fillId="0" borderId="13" xfId="1" applyNumberFormat="1" applyFont="1" applyBorder="1"/>
    <xf numFmtId="164" fontId="30" fillId="0" borderId="0" xfId="0" applyNumberFormat="1" applyFont="1"/>
    <xf numFmtId="164" fontId="4" fillId="0" borderId="2" xfId="0" applyNumberFormat="1" applyFont="1" applyBorder="1"/>
    <xf numFmtId="164" fontId="2" fillId="0" borderId="0" xfId="0" applyNumberFormat="1" applyFont="1"/>
    <xf numFmtId="10" fontId="2" fillId="0" borderId="1" xfId="9" applyNumberFormat="1" applyFont="1" applyBorder="1"/>
    <xf numFmtId="164" fontId="8" fillId="0" borderId="0" xfId="0" applyNumberFormat="1" applyFont="1" applyFill="1"/>
    <xf numFmtId="0" fontId="2" fillId="0" borderId="22" xfId="0" applyFont="1" applyBorder="1" applyAlignment="1">
      <alignment horizontal="left" vertical="center" wrapText="1"/>
    </xf>
    <xf numFmtId="164" fontId="3" fillId="0" borderId="1" xfId="1" applyNumberFormat="1" applyFont="1" applyBorder="1"/>
    <xf numFmtId="164" fontId="2" fillId="0" borderId="1" xfId="1" applyNumberFormat="1" applyFont="1" applyBorder="1"/>
    <xf numFmtId="164" fontId="2" fillId="0" borderId="1" xfId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167" fontId="2" fillId="0" borderId="0" xfId="0" applyNumberFormat="1" applyFont="1"/>
    <xf numFmtId="164" fontId="2" fillId="0" borderId="12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justify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164" fontId="8" fillId="0" borderId="13" xfId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164" fontId="2" fillId="0" borderId="8" xfId="1" applyNumberFormat="1" applyFont="1" applyFill="1" applyBorder="1" applyAlignment="1">
      <alignment horizontal="center" vertical="center"/>
    </xf>
    <xf numFmtId="164" fontId="31" fillId="0" borderId="0" xfId="0" applyNumberFormat="1" applyFont="1" applyFill="1"/>
    <xf numFmtId="164" fontId="3" fillId="0" borderId="0" xfId="0" applyNumberFormat="1" applyFont="1" applyFill="1"/>
    <xf numFmtId="164" fontId="8" fillId="0" borderId="7" xfId="1" applyNumberFormat="1" applyFont="1" applyFill="1" applyBorder="1" applyAlignment="1">
      <alignment horizontal="center" vertical="center"/>
    </xf>
    <xf numFmtId="164" fontId="2" fillId="0" borderId="10" xfId="1" applyFont="1" applyFill="1" applyBorder="1" applyAlignment="1">
      <alignment horizontal="center" vertical="center"/>
    </xf>
    <xf numFmtId="164" fontId="2" fillId="0" borderId="13" xfId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164" fontId="8" fillId="0" borderId="7" xfId="1" applyFont="1" applyFill="1" applyBorder="1"/>
    <xf numFmtId="164" fontId="8" fillId="0" borderId="8" xfId="1" applyFont="1" applyFill="1" applyBorder="1"/>
    <xf numFmtId="164" fontId="2" fillId="0" borderId="1" xfId="1" applyFont="1" applyBorder="1" applyAlignment="1">
      <alignment horizontal="center"/>
    </xf>
    <xf numFmtId="164" fontId="2" fillId="0" borderId="10" xfId="1" applyFont="1" applyBorder="1" applyAlignment="1">
      <alignment horizontal="center"/>
    </xf>
    <xf numFmtId="164" fontId="8" fillId="0" borderId="1" xfId="1" applyFont="1" applyFill="1" applyBorder="1" applyAlignment="1">
      <alignment horizontal="center"/>
    </xf>
    <xf numFmtId="164" fontId="8" fillId="0" borderId="10" xfId="1" applyFont="1" applyFill="1" applyBorder="1" applyAlignment="1">
      <alignment horizontal="center"/>
    </xf>
    <xf numFmtId="164" fontId="8" fillId="0" borderId="7" xfId="1" applyFont="1" applyFill="1" applyBorder="1" applyAlignment="1">
      <alignment horizontal="center"/>
    </xf>
    <xf numFmtId="164" fontId="8" fillId="0" borderId="8" xfId="1" applyFont="1" applyFill="1" applyBorder="1" applyAlignment="1">
      <alignment horizontal="center"/>
    </xf>
    <xf numFmtId="164" fontId="2" fillId="0" borderId="7" xfId="1" applyFont="1" applyFill="1" applyBorder="1" applyAlignment="1">
      <alignment horizontal="center"/>
    </xf>
    <xf numFmtId="164" fontId="2" fillId="0" borderId="7" xfId="1" applyFont="1" applyBorder="1" applyAlignment="1">
      <alignment horizontal="center"/>
    </xf>
    <xf numFmtId="164" fontId="2" fillId="0" borderId="8" xfId="1" applyFont="1" applyBorder="1" applyAlignment="1">
      <alignment horizontal="center"/>
    </xf>
    <xf numFmtId="164" fontId="2" fillId="0" borderId="1" xfId="1" applyFont="1" applyFill="1" applyBorder="1" applyAlignment="1">
      <alignment horizontal="center"/>
    </xf>
    <xf numFmtId="164" fontId="2" fillId="0" borderId="12" xfId="1" applyFont="1" applyBorder="1" applyAlignment="1">
      <alignment horizontal="center"/>
    </xf>
    <xf numFmtId="164" fontId="2" fillId="0" borderId="13" xfId="1" applyFont="1" applyBorder="1" applyAlignment="1">
      <alignment horizontal="center"/>
    </xf>
    <xf numFmtId="0" fontId="8" fillId="0" borderId="1" xfId="4" applyNumberFormat="1" applyFont="1" applyFill="1" applyBorder="1" applyAlignment="1">
      <alignment horizontal="center" vertical="center" wrapText="1"/>
    </xf>
    <xf numFmtId="4" fontId="5" fillId="0" borderId="1" xfId="2" applyNumberFormat="1" applyFont="1" applyFill="1" applyBorder="1" applyAlignment="1">
      <alignment horizontal="center" vertical="center"/>
    </xf>
    <xf numFmtId="4" fontId="5" fillId="0" borderId="1" xfId="2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/>
    </xf>
    <xf numFmtId="167" fontId="2" fillId="0" borderId="0" xfId="0" applyNumberFormat="1" applyFont="1" applyFill="1"/>
    <xf numFmtId="0" fontId="2" fillId="0" borderId="1" xfId="0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9" fontId="2" fillId="3" borderId="0" xfId="9" applyFont="1" applyFill="1"/>
    <xf numFmtId="164" fontId="31" fillId="0" borderId="1" xfId="0" applyNumberFormat="1" applyFont="1" applyFill="1" applyBorder="1"/>
    <xf numFmtId="0" fontId="8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/>
    </xf>
    <xf numFmtId="164" fontId="8" fillId="0" borderId="12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vertical="center"/>
    </xf>
    <xf numFmtId="164" fontId="2" fillId="0" borderId="4" xfId="1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2" fillId="0" borderId="1" xfId="1" applyFont="1" applyFill="1" applyBorder="1" applyAlignment="1">
      <alignment vertical="center"/>
    </xf>
    <xf numFmtId="164" fontId="2" fillId="0" borderId="1" xfId="1" applyNumberFormat="1" applyFont="1" applyFill="1" applyBorder="1" applyAlignment="1">
      <alignment vertical="center"/>
    </xf>
    <xf numFmtId="164" fontId="3" fillId="0" borderId="1" xfId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4" fontId="3" fillId="0" borderId="23" xfId="1" applyFont="1" applyFill="1" applyBorder="1"/>
    <xf numFmtId="0" fontId="3" fillId="5" borderId="1" xfId="0" applyFont="1" applyFill="1" applyBorder="1" applyAlignment="1">
      <alignment horizontal="left" vertical="center" wrapText="1"/>
    </xf>
    <xf numFmtId="164" fontId="3" fillId="5" borderId="1" xfId="1" applyNumberFormat="1" applyFont="1" applyFill="1" applyBorder="1" applyAlignment="1">
      <alignment vertical="center"/>
    </xf>
    <xf numFmtId="164" fontId="3" fillId="5" borderId="1" xfId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164" fontId="2" fillId="5" borderId="1" xfId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 wrapText="1"/>
    </xf>
    <xf numFmtId="164" fontId="2" fillId="5" borderId="1" xfId="1" applyFont="1" applyFill="1" applyBorder="1" applyAlignment="1">
      <alignment vertical="center"/>
    </xf>
    <xf numFmtId="0" fontId="3" fillId="5" borderId="4" xfId="0" applyFont="1" applyFill="1" applyBorder="1" applyAlignment="1">
      <alignment horizontal="left" vertical="center" wrapText="1"/>
    </xf>
    <xf numFmtId="164" fontId="3" fillId="5" borderId="4" xfId="1" applyNumberFormat="1" applyFont="1" applyFill="1" applyBorder="1" applyAlignment="1">
      <alignment vertical="center"/>
    </xf>
    <xf numFmtId="164" fontId="2" fillId="0" borderId="1" xfId="1" applyNumberFormat="1" applyFont="1" applyBorder="1" applyAlignment="1">
      <alignment horizontal="center"/>
    </xf>
    <xf numFmtId="164" fontId="2" fillId="3" borderId="1" xfId="1" applyFont="1" applyFill="1" applyBorder="1" applyAlignment="1">
      <alignment horizontal="center" vertical="center"/>
    </xf>
    <xf numFmtId="164" fontId="2" fillId="0" borderId="0" xfId="1" applyNumberFormat="1" applyFont="1" applyFill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center"/>
    </xf>
    <xf numFmtId="4" fontId="23" fillId="3" borderId="7" xfId="0" applyNumberFormat="1" applyFont="1" applyFill="1" applyBorder="1" applyAlignment="1">
      <alignment horizontal="center"/>
    </xf>
    <xf numFmtId="0" fontId="0" fillId="0" borderId="0" xfId="0" applyFill="1"/>
    <xf numFmtId="0" fontId="27" fillId="0" borderId="1" xfId="0" applyFont="1" applyFill="1" applyBorder="1" applyAlignment="1">
      <alignment vertical="center" wrapText="1"/>
    </xf>
    <xf numFmtId="4" fontId="19" fillId="0" borderId="1" xfId="0" applyNumberFormat="1" applyFon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4" fontId="21" fillId="0" borderId="0" xfId="0" applyNumberFormat="1" applyFont="1" applyFill="1"/>
    <xf numFmtId="0" fontId="10" fillId="0" borderId="0" xfId="0" applyFont="1" applyFill="1"/>
    <xf numFmtId="0" fontId="17" fillId="0" borderId="1" xfId="0" applyFont="1" applyFill="1" applyBorder="1" applyAlignment="1">
      <alignment vertical="center" wrapText="1"/>
    </xf>
    <xf numFmtId="2" fontId="28" fillId="0" borderId="0" xfId="0" applyNumberFormat="1" applyFont="1" applyFill="1"/>
    <xf numFmtId="0" fontId="27" fillId="0" borderId="7" xfId="0" applyFont="1" applyFill="1" applyBorder="1" applyAlignment="1">
      <alignment vertical="center" wrapText="1"/>
    </xf>
    <xf numFmtId="4" fontId="23" fillId="0" borderId="7" xfId="0" applyNumberFormat="1" applyFont="1" applyFill="1" applyBorder="1" applyAlignment="1">
      <alignment horizontal="center"/>
    </xf>
    <xf numFmtId="0" fontId="17" fillId="0" borderId="12" xfId="0" applyFont="1" applyFill="1" applyBorder="1" applyAlignment="1">
      <alignment vertical="center" wrapText="1"/>
    </xf>
    <xf numFmtId="4" fontId="19" fillId="0" borderId="12" xfId="0" applyNumberFormat="1" applyFont="1" applyFill="1" applyBorder="1" applyAlignment="1">
      <alignment horizontal="center"/>
    </xf>
    <xf numFmtId="4" fontId="23" fillId="0" borderId="12" xfId="0" applyNumberFormat="1" applyFont="1" applyFill="1" applyBorder="1" applyAlignment="1">
      <alignment horizontal="center"/>
    </xf>
    <xf numFmtId="4" fontId="23" fillId="3" borderId="12" xfId="0" applyNumberFormat="1" applyFont="1" applyFill="1" applyBorder="1" applyAlignment="1">
      <alignment horizontal="center"/>
    </xf>
    <xf numFmtId="4" fontId="19" fillId="0" borderId="12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/>
    <xf numFmtId="0" fontId="11" fillId="0" borderId="0" xfId="0" applyFont="1" applyFill="1" applyAlignment="1">
      <alignment horizontal="center" vertical="center"/>
    </xf>
    <xf numFmtId="2" fontId="0" fillId="0" borderId="0" xfId="0" applyNumberFormat="1" applyFont="1" applyFill="1"/>
    <xf numFmtId="0" fontId="13" fillId="0" borderId="0" xfId="0" applyFont="1" applyFill="1"/>
    <xf numFmtId="166" fontId="20" fillId="0" borderId="0" xfId="0" applyNumberFormat="1" applyFont="1" applyFill="1"/>
    <xf numFmtId="0" fontId="22" fillId="0" borderId="7" xfId="0" applyFont="1" applyFill="1" applyBorder="1" applyAlignment="1">
      <alignment vertical="center" wrapText="1"/>
    </xf>
    <xf numFmtId="4" fontId="23" fillId="0" borderId="23" xfId="0" applyNumberFormat="1" applyFont="1" applyFill="1" applyBorder="1" applyAlignment="1">
      <alignment horizontal="center" wrapText="1"/>
    </xf>
    <xf numFmtId="0" fontId="26" fillId="0" borderId="0" xfId="0" applyFont="1" applyFill="1"/>
    <xf numFmtId="2" fontId="17" fillId="0" borderId="14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/>
    </xf>
    <xf numFmtId="2" fontId="17" fillId="0" borderId="11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vertical="center" wrapText="1"/>
    </xf>
    <xf numFmtId="4" fontId="24" fillId="0" borderId="0" xfId="0" applyNumberFormat="1" applyFont="1" applyFill="1"/>
    <xf numFmtId="0" fontId="25" fillId="0" borderId="0" xfId="0" applyFont="1" applyFill="1"/>
    <xf numFmtId="4" fontId="19" fillId="0" borderId="23" xfId="0" applyNumberFormat="1" applyFont="1" applyFill="1" applyBorder="1" applyAlignment="1">
      <alignment horizontal="center"/>
    </xf>
    <xf numFmtId="0" fontId="17" fillId="0" borderId="7" xfId="0" applyFont="1" applyFill="1" applyBorder="1" applyAlignment="1">
      <alignment vertical="center" wrapText="1"/>
    </xf>
    <xf numFmtId="0" fontId="17" fillId="0" borderId="30" xfId="0" applyFont="1" applyFill="1" applyBorder="1" applyAlignment="1">
      <alignment horizontal="center" vertical="center"/>
    </xf>
    <xf numFmtId="0" fontId="29" fillId="0" borderId="0" xfId="0" applyFont="1" applyFill="1"/>
    <xf numFmtId="4" fontId="10" fillId="0" borderId="0" xfId="0" applyNumberFormat="1" applyFont="1" applyFill="1"/>
    <xf numFmtId="0" fontId="19" fillId="0" borderId="0" xfId="0" applyFont="1" applyFill="1"/>
    <xf numFmtId="4" fontId="19" fillId="3" borderId="12" xfId="0" applyNumberFormat="1" applyFont="1" applyFill="1" applyBorder="1" applyAlignment="1">
      <alignment horizontal="center"/>
    </xf>
    <xf numFmtId="4" fontId="19" fillId="3" borderId="7" xfId="0" applyNumberFormat="1" applyFont="1" applyFill="1" applyBorder="1" applyAlignment="1">
      <alignment horizontal="center"/>
    </xf>
    <xf numFmtId="4" fontId="19" fillId="3" borderId="12" xfId="0" applyNumberFormat="1" applyFont="1" applyFill="1" applyBorder="1" applyAlignment="1">
      <alignment horizontal="center" vertical="center"/>
    </xf>
    <xf numFmtId="0" fontId="0" fillId="6" borderId="0" xfId="0" applyFill="1"/>
    <xf numFmtId="4" fontId="19" fillId="6" borderId="1" xfId="0" applyNumberFormat="1" applyFont="1" applyFill="1" applyBorder="1" applyAlignment="1">
      <alignment horizontal="center"/>
    </xf>
    <xf numFmtId="4" fontId="19" fillId="6" borderId="12" xfId="0" applyNumberFormat="1" applyFont="1" applyFill="1" applyBorder="1" applyAlignment="1">
      <alignment horizontal="center"/>
    </xf>
    <xf numFmtId="4" fontId="19" fillId="6" borderId="7" xfId="0" applyNumberFormat="1" applyFont="1" applyFill="1" applyBorder="1" applyAlignment="1">
      <alignment horizontal="center"/>
    </xf>
    <xf numFmtId="4" fontId="19" fillId="6" borderId="12" xfId="0" applyNumberFormat="1" applyFont="1" applyFill="1" applyBorder="1" applyAlignment="1">
      <alignment horizontal="center" vertical="center"/>
    </xf>
    <xf numFmtId="0" fontId="0" fillId="7" borderId="0" xfId="0" applyFill="1"/>
    <xf numFmtId="4" fontId="19" fillId="7" borderId="1" xfId="0" applyNumberFormat="1" applyFont="1" applyFill="1" applyBorder="1" applyAlignment="1">
      <alignment horizontal="center"/>
    </xf>
    <xf numFmtId="4" fontId="19" fillId="7" borderId="12" xfId="0" applyNumberFormat="1" applyFont="1" applyFill="1" applyBorder="1" applyAlignment="1">
      <alignment horizontal="center"/>
    </xf>
    <xf numFmtId="4" fontId="19" fillId="7" borderId="7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0" xfId="0" applyFill="1"/>
    <xf numFmtId="2" fontId="0" fillId="2" borderId="0" xfId="0" applyNumberFormat="1" applyFill="1"/>
    <xf numFmtId="0" fontId="10" fillId="2" borderId="0" xfId="0" applyFont="1" applyFill="1"/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2" fontId="0" fillId="2" borderId="0" xfId="0" applyNumberFormat="1" applyFont="1" applyFill="1"/>
    <xf numFmtId="0" fontId="13" fillId="2" borderId="0" xfId="0" applyFont="1" applyFill="1"/>
    <xf numFmtId="0" fontId="14" fillId="2" borderId="19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10" fontId="19" fillId="0" borderId="12" xfId="9" applyNumberFormat="1" applyFont="1" applyFill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center"/>
    </xf>
    <xf numFmtId="4" fontId="19" fillId="2" borderId="12" xfId="0" applyNumberFormat="1" applyFont="1" applyFill="1" applyBorder="1" applyAlignment="1">
      <alignment horizontal="center"/>
    </xf>
    <xf numFmtId="4" fontId="19" fillId="0" borderId="12" xfId="0" applyNumberFormat="1" applyFont="1" applyFill="1" applyBorder="1" applyAlignment="1">
      <alignment horizontal="center" wrapText="1"/>
    </xf>
    <xf numFmtId="4" fontId="19" fillId="0" borderId="13" xfId="0" applyNumberFormat="1" applyFont="1" applyFill="1" applyBorder="1" applyAlignment="1">
      <alignment horizontal="center" wrapText="1"/>
    </xf>
    <xf numFmtId="0" fontId="17" fillId="2" borderId="30" xfId="0" applyFont="1" applyFill="1" applyBorder="1" applyAlignment="1">
      <alignment horizontal="center" vertical="center" wrapText="1"/>
    </xf>
    <xf numFmtId="0" fontId="17" fillId="2" borderId="31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vertical="center" wrapText="1"/>
    </xf>
    <xf numFmtId="0" fontId="18" fillId="0" borderId="38" xfId="0" applyFont="1" applyFill="1" applyBorder="1" applyAlignment="1">
      <alignment horizontal="left" vertical="center" wrapText="1"/>
    </xf>
    <xf numFmtId="4" fontId="19" fillId="0" borderId="4" xfId="0" applyNumberFormat="1" applyFont="1" applyFill="1" applyBorder="1" applyAlignment="1">
      <alignment horizontal="center" wrapText="1"/>
    </xf>
    <xf numFmtId="4" fontId="19" fillId="0" borderId="17" xfId="0" applyNumberFormat="1" applyFont="1" applyFill="1" applyBorder="1" applyAlignment="1">
      <alignment horizontal="center" wrapText="1"/>
    </xf>
    <xf numFmtId="0" fontId="17" fillId="2" borderId="30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 wrapText="1"/>
    </xf>
    <xf numFmtId="0" fontId="17" fillId="2" borderId="36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left" vertical="center" wrapText="1"/>
    </xf>
    <xf numFmtId="2" fontId="17" fillId="0" borderId="27" xfId="0" applyNumberFormat="1" applyFont="1" applyFill="1" applyBorder="1" applyAlignment="1">
      <alignment horizontal="center" vertical="center" wrapText="1"/>
    </xf>
    <xf numFmtId="4" fontId="34" fillId="7" borderId="12" xfId="0" applyNumberFormat="1" applyFont="1" applyFill="1" applyBorder="1" applyAlignment="1">
      <alignment horizontal="center" vertical="center"/>
    </xf>
    <xf numFmtId="4" fontId="34" fillId="7" borderId="12" xfId="0" applyNumberFormat="1" applyFont="1" applyFill="1" applyBorder="1" applyAlignment="1">
      <alignment horizontal="center"/>
    </xf>
    <xf numFmtId="4" fontId="34" fillId="2" borderId="7" xfId="0" applyNumberFormat="1" applyFont="1" applyFill="1" applyBorder="1" applyAlignment="1">
      <alignment horizontal="center"/>
    </xf>
    <xf numFmtId="4" fontId="19" fillId="0" borderId="7" xfId="0" applyNumberFormat="1" applyFont="1" applyFill="1" applyBorder="1" applyAlignment="1">
      <alignment horizontal="center"/>
    </xf>
    <xf numFmtId="4" fontId="34" fillId="7" borderId="7" xfId="0" applyNumberFormat="1" applyFont="1" applyFill="1" applyBorder="1" applyAlignment="1">
      <alignment horizontal="center"/>
    </xf>
    <xf numFmtId="4" fontId="34" fillId="0" borderId="7" xfId="0" applyNumberFormat="1" applyFont="1" applyFill="1" applyBorder="1" applyAlignment="1">
      <alignment horizontal="center"/>
    </xf>
    <xf numFmtId="4" fontId="34" fillId="0" borderId="8" xfId="0" applyNumberFormat="1" applyFont="1" applyFill="1" applyBorder="1" applyAlignment="1">
      <alignment horizontal="center"/>
    </xf>
    <xf numFmtId="4" fontId="19" fillId="0" borderId="13" xfId="0" applyNumberFormat="1" applyFont="1" applyFill="1" applyBorder="1" applyAlignment="1">
      <alignment horizontal="center"/>
    </xf>
    <xf numFmtId="4" fontId="19" fillId="2" borderId="7" xfId="0" applyNumberFormat="1" applyFont="1" applyFill="1" applyBorder="1" applyAlignment="1">
      <alignment horizontal="center"/>
    </xf>
    <xf numFmtId="4" fontId="19" fillId="0" borderId="8" xfId="0" applyNumberFormat="1" applyFont="1" applyFill="1" applyBorder="1" applyAlignment="1">
      <alignment horizontal="center"/>
    </xf>
    <xf numFmtId="4" fontId="19" fillId="0" borderId="34" xfId="0" applyNumberFormat="1" applyFont="1" applyFill="1" applyBorder="1" applyAlignment="1">
      <alignment horizontal="center"/>
    </xf>
    <xf numFmtId="4" fontId="34" fillId="2" borderId="12" xfId="0" applyNumberFormat="1" applyFont="1" applyFill="1" applyBorder="1" applyAlignment="1">
      <alignment horizontal="center" vertical="center"/>
    </xf>
    <xf numFmtId="4" fontId="34" fillId="0" borderId="12" xfId="0" applyNumberFormat="1" applyFont="1" applyFill="1" applyBorder="1" applyAlignment="1">
      <alignment horizontal="center" vertical="center"/>
    </xf>
    <xf numFmtId="4" fontId="34" fillId="0" borderId="13" xfId="0" applyNumberFormat="1" applyFont="1" applyFill="1" applyBorder="1" applyAlignment="1">
      <alignment horizontal="center" vertical="center"/>
    </xf>
    <xf numFmtId="4" fontId="34" fillId="0" borderId="35" xfId="0" applyNumberFormat="1" applyFont="1" applyFill="1" applyBorder="1" applyAlignment="1">
      <alignment horizontal="center" vertical="center"/>
    </xf>
    <xf numFmtId="4" fontId="34" fillId="2" borderId="12" xfId="0" applyNumberFormat="1" applyFont="1" applyFill="1" applyBorder="1" applyAlignment="1">
      <alignment horizontal="center"/>
    </xf>
    <xf numFmtId="4" fontId="34" fillId="0" borderId="12" xfId="0" applyNumberFormat="1" applyFont="1" applyFill="1" applyBorder="1" applyAlignment="1">
      <alignment horizontal="center"/>
    </xf>
    <xf numFmtId="4" fontId="34" fillId="0" borderId="13" xfId="0" applyNumberFormat="1" applyFont="1" applyFill="1" applyBorder="1" applyAlignment="1">
      <alignment horizontal="center"/>
    </xf>
    <xf numFmtId="0" fontId="17" fillId="2" borderId="32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2" borderId="0" xfId="0" applyFill="1" applyAlignment="1">
      <alignment wrapText="1"/>
    </xf>
    <xf numFmtId="0" fontId="26" fillId="0" borderId="0" xfId="0" applyFont="1" applyFill="1" applyAlignment="1">
      <alignment wrapText="1"/>
    </xf>
    <xf numFmtId="0" fontId="0" fillId="0" borderId="0" xfId="0" applyFill="1" applyAlignment="1">
      <alignment horizontal="center" vertical="center" wrapText="1"/>
    </xf>
    <xf numFmtId="4" fontId="33" fillId="0" borderId="0" xfId="0" applyNumberFormat="1" applyFont="1" applyFill="1" applyAlignment="1">
      <alignment wrapText="1"/>
    </xf>
    <xf numFmtId="0" fontId="19" fillId="0" borderId="0" xfId="0" applyFont="1" applyFill="1" applyAlignment="1">
      <alignment wrapText="1"/>
    </xf>
    <xf numFmtId="4" fontId="33" fillId="2" borderId="0" xfId="0" applyNumberFormat="1" applyFont="1" applyFill="1" applyAlignment="1">
      <alignment wrapText="1"/>
    </xf>
    <xf numFmtId="0" fontId="33" fillId="2" borderId="0" xfId="0" applyFont="1" applyFill="1" applyAlignment="1">
      <alignment wrapText="1"/>
    </xf>
    <xf numFmtId="0" fontId="14" fillId="0" borderId="26" xfId="0" applyFont="1" applyFill="1" applyBorder="1" applyAlignment="1">
      <alignment vertical="center" wrapText="1"/>
    </xf>
    <xf numFmtId="4" fontId="19" fillId="3" borderId="26" xfId="0" applyNumberFormat="1" applyFont="1" applyFill="1" applyBorder="1" applyAlignment="1">
      <alignment horizontal="center"/>
    </xf>
    <xf numFmtId="4" fontId="23" fillId="0" borderId="26" xfId="0" applyNumberFormat="1" applyFont="1" applyFill="1" applyBorder="1" applyAlignment="1">
      <alignment horizontal="center"/>
    </xf>
    <xf numFmtId="4" fontId="23" fillId="3" borderId="26" xfId="0" applyNumberFormat="1" applyFont="1" applyFill="1" applyBorder="1" applyAlignment="1">
      <alignment horizontal="center"/>
    </xf>
    <xf numFmtId="0" fontId="0" fillId="2" borderId="31" xfId="0" applyFill="1" applyBorder="1"/>
    <xf numFmtId="0" fontId="17" fillId="0" borderId="27" xfId="0" applyFont="1" applyFill="1" applyBorder="1" applyAlignment="1">
      <alignment horizontal="center" vertical="center"/>
    </xf>
    <xf numFmtId="4" fontId="19" fillId="2" borderId="31" xfId="0" applyNumberFormat="1" applyFont="1" applyFill="1" applyBorder="1" applyAlignment="1">
      <alignment horizontal="center"/>
    </xf>
    <xf numFmtId="4" fontId="19" fillId="2" borderId="32" xfId="0" applyNumberFormat="1" applyFont="1" applyFill="1" applyBorder="1" applyAlignment="1">
      <alignment horizontal="center"/>
    </xf>
    <xf numFmtId="0" fontId="27" fillId="0" borderId="31" xfId="0" applyFont="1" applyFill="1" applyBorder="1" applyAlignment="1">
      <alignment vertical="center" wrapText="1"/>
    </xf>
    <xf numFmtId="4" fontId="0" fillId="2" borderId="0" xfId="0" applyNumberFormat="1" applyFill="1"/>
    <xf numFmtId="4" fontId="34" fillId="2" borderId="26" xfId="0" applyNumberFormat="1" applyFont="1" applyFill="1" applyBorder="1" applyAlignment="1">
      <alignment horizontal="center" vertical="center"/>
    </xf>
    <xf numFmtId="4" fontId="34" fillId="6" borderId="26" xfId="0" applyNumberFormat="1" applyFont="1" applyFill="1" applyBorder="1" applyAlignment="1">
      <alignment horizontal="center" vertical="center"/>
    </xf>
    <xf numFmtId="4" fontId="34" fillId="0" borderId="26" xfId="0" applyNumberFormat="1" applyFont="1" applyFill="1" applyBorder="1" applyAlignment="1">
      <alignment horizontal="center" vertical="center"/>
    </xf>
    <xf numFmtId="4" fontId="34" fillId="7" borderId="26" xfId="0" applyNumberFormat="1" applyFont="1" applyFill="1" applyBorder="1" applyAlignment="1">
      <alignment horizontal="center" vertical="center"/>
    </xf>
    <xf numFmtId="4" fontId="34" fillId="0" borderId="39" xfId="0" applyNumberFormat="1" applyFont="1" applyFill="1" applyBorder="1" applyAlignment="1">
      <alignment horizontal="center" vertical="center"/>
    </xf>
    <xf numFmtId="4" fontId="12" fillId="0" borderId="39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wrapText="1"/>
    </xf>
    <xf numFmtId="0" fontId="17" fillId="2" borderId="0" xfId="0" applyFont="1" applyFill="1"/>
    <xf numFmtId="0" fontId="17" fillId="2" borderId="33" xfId="0" applyFont="1" applyFill="1" applyBorder="1"/>
    <xf numFmtId="0" fontId="17" fillId="2" borderId="22" xfId="0" applyFont="1" applyFill="1" applyBorder="1"/>
    <xf numFmtId="2" fontId="17" fillId="0" borderId="27" xfId="0" applyNumberFormat="1" applyFont="1" applyFill="1" applyBorder="1" applyAlignment="1">
      <alignment horizontal="center" vertical="center" wrapText="1"/>
    </xf>
    <xf numFmtId="2" fontId="17" fillId="0" borderId="24" xfId="0" applyNumberFormat="1" applyFont="1" applyFill="1" applyBorder="1" applyAlignment="1">
      <alignment horizontal="center" vertical="center" wrapText="1"/>
    </xf>
    <xf numFmtId="2" fontId="17" fillId="0" borderId="28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left" wrapText="1"/>
    </xf>
    <xf numFmtId="49" fontId="8" fillId="0" borderId="16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2" fontId="35" fillId="2" borderId="0" xfId="0" applyNumberFormat="1" applyFont="1" applyFill="1"/>
  </cellXfs>
  <cellStyles count="11">
    <cellStyle name="S2" xfId="10"/>
    <cellStyle name="Гиперссылка 2" xfId="5"/>
    <cellStyle name="Обычный" xfId="0" builtinId="0"/>
    <cellStyle name="Обычный 2" xfId="2"/>
    <cellStyle name="Обычный 2 2" xfId="7"/>
    <cellStyle name="Обычный 2 2 2" xfId="8"/>
    <cellStyle name="Обычный 2 4" xfId="4"/>
    <cellStyle name="Процентный" xfId="9" builtinId="5"/>
    <cellStyle name="Финансовый" xfId="1" builtinId="3"/>
    <cellStyle name="Финансовый 2" xfId="6"/>
    <cellStyle name="Финансов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b/Nextcloud/DIP/&#1055;&#1056;&#1054;&#1045;&#1050;&#1058;&#1067;/2019-03-08%20&#1052;&#1086;&#1085;&#1080;&#1090;&#1086;&#1088;&#1099;%20&#1085;&#1072;%20&#1041;&#1072;&#1083;&#1083;&#1102;&#1089;&#1090;&#1088;&#1072;&#1076;&#1072;&#1093;/&#1050;&#1055;/3&#1050;&#1055;/&#1052;&#1058;/2020-12-11_&#1055;&#1095;&#1077;&#1083;&#1100;&#1085;&#1080;&#1082;&#1086;&#1074;%20&#1087;&#1077;&#1088;&#1077;&#1089;&#1095;&#1077;&#1090;%20&#1087;&#1086;%20&#1096;&#1072;&#1073;&#1083;&#1086;&#1085;&#1091;/2020-12-09_&#1056;&#1072;&#1089;&#1095;&#1077;&#1090;%20&#1069;&#1082;&#1088;&#1072;&#1085;&#1099;%20(246%20&#1096;&#1090;.%20&#1087;&#1086;&#1076;&#1088;&#1086;&#1073;&#1085;&#1086;)%20&#1052;&#105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lin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8"/>
  <sheetViews>
    <sheetView tabSelected="1" view="pageBreakPreview" zoomScale="40" zoomScaleNormal="40" zoomScaleSheetLayoutView="40" workbookViewId="0">
      <selection activeCell="Z6" sqref="Z6"/>
    </sheetView>
  </sheetViews>
  <sheetFormatPr defaultColWidth="8.85546875" defaultRowHeight="31.5" outlineLevelRow="1" outlineLevelCol="1" x14ac:dyDescent="0.5"/>
  <cols>
    <col min="1" max="1" width="13.42578125" style="248" bestFit="1" customWidth="1"/>
    <col min="2" max="2" width="112.28515625" style="231" customWidth="1"/>
    <col min="3" max="3" width="30.28515625" style="68" hidden="1" customWidth="1"/>
    <col min="4" max="4" width="25.85546875" style="231" hidden="1" customWidth="1" outlineLevel="1"/>
    <col min="5" max="5" width="28" style="231" hidden="1" customWidth="1" outlineLevel="1"/>
    <col min="6" max="6" width="30.28515625" style="68" hidden="1" customWidth="1" outlineLevel="1"/>
    <col min="7" max="7" width="42.7109375" style="282" customWidth="1" outlineLevel="1"/>
    <col min="8" max="8" width="28.7109375" style="272" hidden="1" customWidth="1"/>
    <col min="9" max="9" width="24.28515625" style="231" hidden="1" customWidth="1" outlineLevel="1"/>
    <col min="10" max="10" width="26.5703125" style="231" hidden="1" customWidth="1" outlineLevel="1"/>
    <col min="11" max="11" width="15.42578125" style="272" hidden="1" customWidth="1" outlineLevel="1"/>
    <col min="12" max="12" width="46.5703125" style="282" customWidth="1" outlineLevel="1"/>
    <col min="13" max="13" width="28.7109375" style="277" hidden="1" customWidth="1"/>
    <col min="14" max="14" width="24.28515625" style="231" hidden="1" customWidth="1"/>
    <col min="15" max="15" width="26.5703125" style="231" hidden="1" customWidth="1"/>
    <col min="16" max="16" width="28.7109375" style="277" hidden="1" customWidth="1"/>
    <col min="17" max="17" width="41.140625" style="282" customWidth="1"/>
    <col min="18" max="18" width="46.85546875" style="231" customWidth="1"/>
    <col min="19" max="19" width="65" style="249" hidden="1" customWidth="1"/>
    <col min="20" max="21" width="56.140625" style="249" customWidth="1"/>
    <col min="22" max="22" width="56.140625" style="231" hidden="1" customWidth="1"/>
    <col min="23" max="23" width="56.140625" style="236" hidden="1" customWidth="1"/>
    <col min="24" max="24" width="56.140625" style="231" hidden="1" customWidth="1"/>
    <col min="25" max="25" width="56.140625" style="330" hidden="1" customWidth="1"/>
    <col min="26" max="27" width="68.28515625" style="330" customWidth="1"/>
    <col min="28" max="32" width="9.140625" style="231" customWidth="1"/>
    <col min="33" max="16384" width="8.85546875" style="231"/>
  </cols>
  <sheetData>
    <row r="1" spans="1:27" outlineLevel="1" x14ac:dyDescent="0.5"/>
    <row r="2" spans="1:27" ht="35.25" outlineLevel="1" x14ac:dyDescent="0.5">
      <c r="A2" s="250"/>
      <c r="B2" s="361" t="s">
        <v>185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251"/>
      <c r="T2" s="251"/>
      <c r="U2" s="251"/>
    </row>
    <row r="3" spans="1:27" ht="34.5" outlineLevel="1" x14ac:dyDescent="0.5">
      <c r="A3" s="250"/>
      <c r="B3" s="362" t="s">
        <v>186</v>
      </c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251"/>
      <c r="T3" s="251"/>
      <c r="U3" s="251"/>
      <c r="V3" s="252"/>
    </row>
    <row r="4" spans="1:27" s="282" customFormat="1" ht="35.25" outlineLevel="1" thickBot="1" x14ac:dyDescent="0.55000000000000004">
      <c r="A4" s="285"/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7"/>
      <c r="T4" s="287"/>
      <c r="U4" s="287"/>
      <c r="V4" s="288"/>
      <c r="W4" s="284"/>
      <c r="Y4" s="331"/>
      <c r="Z4" s="331"/>
      <c r="AA4" s="331"/>
    </row>
    <row r="5" spans="1:27" s="282" customFormat="1" ht="125.25" customHeight="1" thickBot="1" x14ac:dyDescent="0.55000000000000004">
      <c r="A5" s="289" t="s">
        <v>53</v>
      </c>
      <c r="B5" s="290" t="s">
        <v>187</v>
      </c>
      <c r="C5" s="363" t="s">
        <v>188</v>
      </c>
      <c r="D5" s="364"/>
      <c r="E5" s="364"/>
      <c r="F5" s="364"/>
      <c r="G5" s="364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291" t="s">
        <v>189</v>
      </c>
      <c r="S5" s="290" t="s">
        <v>192</v>
      </c>
      <c r="T5" s="290" t="s">
        <v>190</v>
      </c>
      <c r="U5" s="290" t="s">
        <v>326</v>
      </c>
      <c r="V5" s="288"/>
      <c r="W5" s="284"/>
      <c r="Y5" s="331"/>
      <c r="Z5" s="331"/>
      <c r="AA5" s="331"/>
    </row>
    <row r="6" spans="1:27" s="282" customFormat="1" ht="32.25" thickBot="1" x14ac:dyDescent="0.55000000000000004">
      <c r="A6" s="297">
        <v>1</v>
      </c>
      <c r="B6" s="298">
        <v>2</v>
      </c>
      <c r="C6" s="299">
        <v>3</v>
      </c>
      <c r="D6" s="299"/>
      <c r="E6" s="299"/>
      <c r="F6" s="299"/>
      <c r="G6" s="299"/>
      <c r="H6" s="299">
        <v>4</v>
      </c>
      <c r="I6" s="299"/>
      <c r="J6" s="299"/>
      <c r="K6" s="299"/>
      <c r="L6" s="299"/>
      <c r="M6" s="299"/>
      <c r="N6" s="299"/>
      <c r="O6" s="299"/>
      <c r="P6" s="299"/>
      <c r="Q6" s="299">
        <v>5</v>
      </c>
      <c r="R6" s="299">
        <v>6</v>
      </c>
      <c r="S6" s="300">
        <v>7</v>
      </c>
      <c r="T6" s="300">
        <v>8</v>
      </c>
      <c r="U6" s="300">
        <v>8</v>
      </c>
      <c r="V6" s="288"/>
      <c r="W6" s="284"/>
      <c r="Y6" s="331"/>
      <c r="Z6" s="331"/>
      <c r="AA6" s="331"/>
    </row>
    <row r="7" spans="1:27" s="282" customFormat="1" ht="32.25" thickBot="1" x14ac:dyDescent="0.55000000000000004">
      <c r="A7" s="306"/>
      <c r="B7" s="298" t="s">
        <v>191</v>
      </c>
      <c r="C7" s="307" t="s">
        <v>317</v>
      </c>
      <c r="D7" s="307" t="s">
        <v>216</v>
      </c>
      <c r="E7" s="307" t="s">
        <v>217</v>
      </c>
      <c r="F7" s="307" t="s">
        <v>218</v>
      </c>
      <c r="G7" s="307" t="s">
        <v>219</v>
      </c>
      <c r="H7" s="307" t="s">
        <v>317</v>
      </c>
      <c r="I7" s="307" t="s">
        <v>216</v>
      </c>
      <c r="J7" s="307" t="s">
        <v>217</v>
      </c>
      <c r="K7" s="307" t="s">
        <v>218</v>
      </c>
      <c r="L7" s="307" t="s">
        <v>249</v>
      </c>
      <c r="M7" s="307" t="s">
        <v>317</v>
      </c>
      <c r="N7" s="307" t="s">
        <v>216</v>
      </c>
      <c r="O7" s="307" t="s">
        <v>217</v>
      </c>
      <c r="P7" s="307" t="s">
        <v>218</v>
      </c>
      <c r="Q7" s="307" t="s">
        <v>251</v>
      </c>
      <c r="R7" s="308" t="s">
        <v>192</v>
      </c>
      <c r="S7" s="298" t="s">
        <v>193</v>
      </c>
      <c r="T7" s="329" t="s">
        <v>193</v>
      </c>
      <c r="U7" s="329" t="s">
        <v>193</v>
      </c>
      <c r="V7" s="288"/>
      <c r="W7" s="284"/>
      <c r="Y7" s="331"/>
      <c r="Z7" s="331"/>
      <c r="AA7" s="331"/>
    </row>
    <row r="8" spans="1:27" ht="52.5" outlineLevel="1" x14ac:dyDescent="0.45">
      <c r="A8" s="301">
        <v>1</v>
      </c>
      <c r="B8" s="302" t="s">
        <v>194</v>
      </c>
      <c r="C8" s="366" t="s">
        <v>318</v>
      </c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 s="367"/>
      <c r="Q8" s="368"/>
      <c r="R8" s="303"/>
      <c r="S8" s="304"/>
      <c r="T8" s="305"/>
      <c r="U8" s="305"/>
      <c r="V8" s="253">
        <f>Калькуляция!J160</f>
        <v>8.2491666901346426E-3</v>
      </c>
      <c r="W8" s="253">
        <f>Калькуляция1!J77</f>
        <v>1.0306382337539456E-2</v>
      </c>
      <c r="X8" s="253">
        <f>Калькуляция2!J76</f>
        <v>7.9028400891872023E-3</v>
      </c>
    </row>
    <row r="9" spans="1:27" ht="29.25" thickBot="1" x14ac:dyDescent="0.5">
      <c r="A9" s="259" t="s">
        <v>195</v>
      </c>
      <c r="B9" s="241" t="s">
        <v>250</v>
      </c>
      <c r="C9" s="269">
        <f>C10+C14+C18+C22</f>
        <v>360607937.94000006</v>
      </c>
      <c r="D9" s="242"/>
      <c r="E9" s="242"/>
      <c r="F9" s="269"/>
      <c r="G9" s="294"/>
      <c r="H9" s="274">
        <f>H10+H14+H18+H22</f>
        <v>385945666.86000001</v>
      </c>
      <c r="I9" s="242"/>
      <c r="J9" s="242"/>
      <c r="K9" s="274"/>
      <c r="L9" s="294"/>
      <c r="M9" s="279">
        <f>M10+M14+M18+M22</f>
        <v>419521394.38999999</v>
      </c>
      <c r="N9" s="242"/>
      <c r="O9" s="242"/>
      <c r="P9" s="279"/>
      <c r="Q9" s="294"/>
      <c r="R9" s="295"/>
      <c r="S9" s="295"/>
      <c r="T9" s="296"/>
      <c r="U9" s="296"/>
      <c r="V9" s="253">
        <f>Калькуляция!F176/100</f>
        <v>0.05</v>
      </c>
      <c r="W9" s="253">
        <f>Калькуляция1!F95/100</f>
        <v>0.05</v>
      </c>
      <c r="X9" s="253">
        <f>Калькуляция2!F93/100</f>
        <v>0.05</v>
      </c>
    </row>
    <row r="10" spans="1:27" s="256" customFormat="1" ht="52.5" x14ac:dyDescent="0.45">
      <c r="A10" s="310" t="s">
        <v>196</v>
      </c>
      <c r="B10" s="254" t="s">
        <v>197</v>
      </c>
      <c r="C10" s="230">
        <f>ROUND(SUMPRODUCT(Калькуляция!$F$3:$F$6,Калькуляция!$G$3:$G$6),2)</f>
        <v>177048545.52000001</v>
      </c>
      <c r="D10" s="240"/>
      <c r="E10" s="240"/>
      <c r="F10" s="230">
        <f>ROUND(SUM(C10)*0.2,2)</f>
        <v>35409709.100000001</v>
      </c>
      <c r="G10" s="313">
        <f>C10+F10</f>
        <v>212458254.62</v>
      </c>
      <c r="H10" s="275">
        <f>ROUND(SUMPRODUCT(Калькуляция1!$F$3:$F$6,Калькуляция1!$G$3:$G$6),2)</f>
        <v>186727035.44</v>
      </c>
      <c r="I10" s="314"/>
      <c r="J10" s="314"/>
      <c r="K10" s="275">
        <f>ROUND(SUM(H10:J10)*0.2,2)</f>
        <v>37345407.090000004</v>
      </c>
      <c r="L10" s="313">
        <f>H10+I10+J10+K10</f>
        <v>224072442.53</v>
      </c>
      <c r="M10" s="315">
        <f>ROUND(SUMPRODUCT(Калькуляция2!$F$3:$F$6,Калькуляция2!$G$3:$G$6),2)</f>
        <v>202660717.16</v>
      </c>
      <c r="N10" s="316"/>
      <c r="O10" s="316"/>
      <c r="P10" s="315">
        <f>ROUND(SUM(M10:O10)*0.2,2)</f>
        <v>40532143.43</v>
      </c>
      <c r="Q10" s="313">
        <f>M10+N10+O10+P10</f>
        <v>243192860.59</v>
      </c>
      <c r="R10" s="316">
        <f>ROUND(AVERAGE(G10+L10+Q10)/3,2)</f>
        <v>226574519.25</v>
      </c>
      <c r="S10" s="317">
        <f>G10</f>
        <v>212458254.62</v>
      </c>
      <c r="T10" s="317">
        <f>T13*C11</f>
        <v>210163704.52000001</v>
      </c>
      <c r="U10" s="317">
        <f>T10</f>
        <v>210163704.52000001</v>
      </c>
      <c r="V10" s="255"/>
      <c r="W10" s="253"/>
      <c r="Y10" s="332"/>
      <c r="Z10" s="332"/>
      <c r="AA10" s="332"/>
    </row>
    <row r="11" spans="1:27" x14ac:dyDescent="0.5">
      <c r="A11" s="257"/>
      <c r="B11" s="232" t="s">
        <v>198</v>
      </c>
      <c r="C11" s="55">
        <f>Калькуляция!F3</f>
        <v>121</v>
      </c>
      <c r="D11" s="233"/>
      <c r="E11" s="233"/>
      <c r="F11" s="55"/>
      <c r="G11" s="293"/>
      <c r="H11" s="273"/>
      <c r="I11" s="233"/>
      <c r="J11" s="233"/>
      <c r="K11" s="273"/>
      <c r="L11" s="293"/>
      <c r="M11" s="278"/>
      <c r="N11" s="233"/>
      <c r="O11" s="233"/>
      <c r="P11" s="278"/>
      <c r="Q11" s="293"/>
      <c r="R11" s="233"/>
      <c r="S11" s="258"/>
      <c r="T11" s="258"/>
      <c r="U11" s="258"/>
      <c r="V11" s="235"/>
    </row>
    <row r="12" spans="1:27" x14ac:dyDescent="0.5">
      <c r="A12" s="257"/>
      <c r="B12" s="232" t="s">
        <v>199</v>
      </c>
      <c r="C12" s="55" t="s">
        <v>200</v>
      </c>
      <c r="D12" s="233"/>
      <c r="E12" s="233"/>
      <c r="F12" s="55"/>
      <c r="G12" s="293"/>
      <c r="H12" s="273"/>
      <c r="I12" s="233"/>
      <c r="J12" s="233"/>
      <c r="K12" s="273"/>
      <c r="L12" s="293"/>
      <c r="M12" s="278"/>
      <c r="N12" s="233"/>
      <c r="O12" s="233"/>
      <c r="P12" s="278"/>
      <c r="Q12" s="293"/>
      <c r="R12" s="233"/>
      <c r="S12" s="258"/>
      <c r="T12" s="258"/>
      <c r="U12" s="258"/>
      <c r="V12" s="235"/>
    </row>
    <row r="13" spans="1:27" ht="32.25" thickBot="1" x14ac:dyDescent="0.55000000000000004">
      <c r="A13" s="259"/>
      <c r="B13" s="260" t="s">
        <v>201</v>
      </c>
      <c r="C13" s="269">
        <f>SUM(Калькуляция!G3:G6)</f>
        <v>1463211.1199999999</v>
      </c>
      <c r="D13" s="243"/>
      <c r="E13" s="243"/>
      <c r="F13" s="244">
        <f>ROUND(SUM(C13)*0.2,2)</f>
        <v>292642.21999999997</v>
      </c>
      <c r="G13" s="294">
        <f>C13+F13</f>
        <v>1755853.3399999999</v>
      </c>
      <c r="H13" s="274">
        <f>SUM(Калькуляция1!G3:G6)</f>
        <v>1543198.64</v>
      </c>
      <c r="I13" s="242"/>
      <c r="J13" s="242"/>
      <c r="K13" s="274">
        <f t="shared" ref="K13:K32" si="0">ROUND(SUM(H13:J13)*0.2,2)</f>
        <v>308639.73</v>
      </c>
      <c r="L13" s="294">
        <f>H13+I13+J13+K13</f>
        <v>1851838.3699999999</v>
      </c>
      <c r="M13" s="279">
        <f>SUM(Калькуляция2!G3:G6)</f>
        <v>1674881.96</v>
      </c>
      <c r="N13" s="242"/>
      <c r="O13" s="242"/>
      <c r="P13" s="279">
        <f t="shared" ref="P13:P31" si="1">ROUND(SUM(M13:O13)*0.2,2)</f>
        <v>334976.39</v>
      </c>
      <c r="Q13" s="294">
        <f t="shared" ref="Q13:Q31" si="2">M13+N13+O13+P13</f>
        <v>2009858.35</v>
      </c>
      <c r="R13" s="242">
        <f t="shared" ref="R13:R33" si="3">ROUND(AVERAGE(G13+L13+Q13)/3,2)</f>
        <v>1872516.69</v>
      </c>
      <c r="S13" s="318">
        <f t="shared" ref="S13:S33" si="4">G13</f>
        <v>1755853.3399999999</v>
      </c>
      <c r="T13" s="318">
        <f>ROUND(S13*0.9892,2)</f>
        <v>1736890.12</v>
      </c>
      <c r="U13" s="318">
        <f>ROUND(T13*0.9892,2)</f>
        <v>1718131.71</v>
      </c>
      <c r="V13" s="235"/>
    </row>
    <row r="14" spans="1:27" s="256" customFormat="1" x14ac:dyDescent="0.5">
      <c r="A14" s="310" t="s">
        <v>202</v>
      </c>
      <c r="B14" s="254" t="s">
        <v>203</v>
      </c>
      <c r="C14" s="230">
        <f>ROUND(SUMPRODUCT(Калькуляция!$F$7:$F$10,Калькуляция!$G$7:$G$10),2)</f>
        <v>118012303.08</v>
      </c>
      <c r="D14" s="240"/>
      <c r="E14" s="240"/>
      <c r="F14" s="230">
        <f>ROUND(SUM(C14:E14)*0.2,2)</f>
        <v>23602460.620000001</v>
      </c>
      <c r="G14" s="313">
        <f>C14+D14+E14+F14</f>
        <v>141614763.69999999</v>
      </c>
      <c r="H14" s="275">
        <f>ROUND(SUMPRODUCT(Калькуляция1!$F$7:$F$10,Калькуляция1!$G$7:$G$10),2)</f>
        <v>127631581.56</v>
      </c>
      <c r="I14" s="314"/>
      <c r="J14" s="314"/>
      <c r="K14" s="275">
        <f t="shared" si="0"/>
        <v>25526316.309999999</v>
      </c>
      <c r="L14" s="313">
        <f t="shared" ref="L14:L33" si="5">H14+I14+J14+K14</f>
        <v>153157897.87</v>
      </c>
      <c r="M14" s="315">
        <f>ROUND(SUMPRODUCT(Калькуляция2!$F$7:$F$10,Калькуляция2!$G$7:$G$10),2)</f>
        <v>138815834.84999999</v>
      </c>
      <c r="N14" s="316"/>
      <c r="O14" s="316"/>
      <c r="P14" s="315">
        <f t="shared" si="1"/>
        <v>27763166.969999999</v>
      </c>
      <c r="Q14" s="313">
        <f t="shared" si="2"/>
        <v>166579001.81999999</v>
      </c>
      <c r="R14" s="316">
        <f t="shared" si="3"/>
        <v>153783887.80000001</v>
      </c>
      <c r="S14" s="317">
        <f t="shared" si="4"/>
        <v>141614763.69999999</v>
      </c>
      <c r="T14" s="317">
        <f>H14</f>
        <v>127631581.56</v>
      </c>
      <c r="U14" s="317">
        <f>T14</f>
        <v>127631581.56</v>
      </c>
      <c r="V14" s="261"/>
      <c r="W14" s="262"/>
      <c r="Y14" s="332"/>
      <c r="Z14" s="332"/>
      <c r="AA14" s="332"/>
    </row>
    <row r="15" spans="1:27" x14ac:dyDescent="0.5">
      <c r="A15" s="257"/>
      <c r="B15" s="232" t="s">
        <v>198</v>
      </c>
      <c r="C15" s="55">
        <v>63</v>
      </c>
      <c r="D15" s="233"/>
      <c r="E15" s="233"/>
      <c r="F15" s="55"/>
      <c r="G15" s="293"/>
      <c r="H15" s="273"/>
      <c r="I15" s="233"/>
      <c r="J15" s="233"/>
      <c r="K15" s="273"/>
      <c r="L15" s="293"/>
      <c r="M15" s="278"/>
      <c r="N15" s="233"/>
      <c r="O15" s="233"/>
      <c r="P15" s="278"/>
      <c r="Q15" s="293"/>
      <c r="R15" s="233"/>
      <c r="S15" s="258"/>
      <c r="T15" s="258"/>
      <c r="U15" s="258"/>
      <c r="V15" s="235"/>
    </row>
    <row r="16" spans="1:27" x14ac:dyDescent="0.5">
      <c r="A16" s="257"/>
      <c r="B16" s="232" t="s">
        <v>199</v>
      </c>
      <c r="C16" s="55" t="s">
        <v>200</v>
      </c>
      <c r="D16" s="233"/>
      <c r="E16" s="233"/>
      <c r="F16" s="55"/>
      <c r="G16" s="293"/>
      <c r="H16" s="273"/>
      <c r="I16" s="233"/>
      <c r="J16" s="233"/>
      <c r="K16" s="273"/>
      <c r="L16" s="293"/>
      <c r="M16" s="278"/>
      <c r="N16" s="233"/>
      <c r="O16" s="233"/>
      <c r="P16" s="278"/>
      <c r="Q16" s="293"/>
      <c r="R16" s="233"/>
      <c r="S16" s="258"/>
      <c r="T16" s="258"/>
      <c r="U16" s="258"/>
      <c r="V16" s="235"/>
    </row>
    <row r="17" spans="1:27" ht="32.25" thickBot="1" x14ac:dyDescent="0.55000000000000004">
      <c r="A17" s="259"/>
      <c r="B17" s="260" t="s">
        <v>201</v>
      </c>
      <c r="C17" s="269">
        <f>Калькуляция!G7*9+Калькуляция!G8+Калькуляция!G9+Калькуляция!G10</f>
        <v>1873211.1600000001</v>
      </c>
      <c r="D17" s="243"/>
      <c r="E17" s="243"/>
      <c r="F17" s="244">
        <f>ROUND(SUM(C17:E17)*0.2,2)</f>
        <v>374642.23</v>
      </c>
      <c r="G17" s="294">
        <f>C17+D17+E17+F17</f>
        <v>2247853.39</v>
      </c>
      <c r="H17" s="274">
        <f>Калькуляция1!G7*9+Калькуляция1!G8+Калькуляция1!G9+Калькуляция1!G10</f>
        <v>2025898.1199999999</v>
      </c>
      <c r="I17" s="242"/>
      <c r="J17" s="242"/>
      <c r="K17" s="274">
        <f t="shared" si="0"/>
        <v>405179.62</v>
      </c>
      <c r="L17" s="294">
        <f t="shared" si="5"/>
        <v>2431077.7399999998</v>
      </c>
      <c r="M17" s="279">
        <f>Калькуляция2!G7*9+Калькуляция2!G8+Калькуляция2!G9+Калькуляция2!G10</f>
        <v>2203425.9499999997</v>
      </c>
      <c r="N17" s="242"/>
      <c r="O17" s="242"/>
      <c r="P17" s="279">
        <f t="shared" si="1"/>
        <v>440685.19</v>
      </c>
      <c r="Q17" s="294">
        <f t="shared" si="2"/>
        <v>2644111.1399999997</v>
      </c>
      <c r="R17" s="242">
        <f t="shared" si="3"/>
        <v>2441014.09</v>
      </c>
      <c r="S17" s="318">
        <f t="shared" si="4"/>
        <v>2247853.39</v>
      </c>
      <c r="T17" s="318">
        <f>ROUND(S17*0.9892,2)</f>
        <v>2223576.5699999998</v>
      </c>
      <c r="U17" s="318">
        <f>T17</f>
        <v>2223576.5699999998</v>
      </c>
      <c r="V17" s="235"/>
    </row>
    <row r="18" spans="1:27" s="256" customFormat="1" x14ac:dyDescent="0.5">
      <c r="A18" s="310" t="s">
        <v>204</v>
      </c>
      <c r="B18" s="254" t="s">
        <v>205</v>
      </c>
      <c r="C18" s="230">
        <f>ROUND(SUMPRODUCT(Калькуляция!$F$11:$F$14,Калькуляция!$G$11:$G$14),2)</f>
        <v>24676333.5</v>
      </c>
      <c r="D18" s="240"/>
      <c r="E18" s="240"/>
      <c r="F18" s="230">
        <f>ROUND(SUM(C18:E18)*0.2,2)</f>
        <v>4935266.7</v>
      </c>
      <c r="G18" s="313">
        <f>C18+D18+E18+F18</f>
        <v>29611600.199999999</v>
      </c>
      <c r="H18" s="275">
        <f>ROUND(SUMPRODUCT(Калькуляция1!$F$11:$F$14,Калькуляция1!$G$11:$G$14),2)</f>
        <v>26637951.300000001</v>
      </c>
      <c r="I18" s="314"/>
      <c r="J18" s="314"/>
      <c r="K18" s="275">
        <f t="shared" si="0"/>
        <v>5327590.26</v>
      </c>
      <c r="L18" s="313">
        <f t="shared" si="5"/>
        <v>31965541.560000002</v>
      </c>
      <c r="M18" s="315">
        <f>ROUND(SUMPRODUCT(Калькуляция2!$F$11:$F$14,Калькуляция2!$G$11:$G$14),2)</f>
        <v>28940143.5</v>
      </c>
      <c r="N18" s="316"/>
      <c r="O18" s="316"/>
      <c r="P18" s="315">
        <f t="shared" si="1"/>
        <v>5788028.7000000002</v>
      </c>
      <c r="Q18" s="313">
        <f t="shared" si="2"/>
        <v>34728172.200000003</v>
      </c>
      <c r="R18" s="316">
        <f t="shared" si="3"/>
        <v>32101771.32</v>
      </c>
      <c r="S18" s="317">
        <f t="shared" si="4"/>
        <v>29611600.199999999</v>
      </c>
      <c r="T18" s="317">
        <f>H18</f>
        <v>26637951.300000001</v>
      </c>
      <c r="U18" s="317">
        <f>T18</f>
        <v>26637951.300000001</v>
      </c>
      <c r="V18" s="261"/>
      <c r="W18" s="262"/>
      <c r="Y18" s="332"/>
      <c r="Z18" s="332"/>
      <c r="AA18" s="332"/>
    </row>
    <row r="19" spans="1:27" x14ac:dyDescent="0.5">
      <c r="A19" s="257"/>
      <c r="B19" s="232" t="s">
        <v>198</v>
      </c>
      <c r="C19" s="55">
        <v>30</v>
      </c>
      <c r="D19" s="233"/>
      <c r="E19" s="233"/>
      <c r="F19" s="55"/>
      <c r="G19" s="293"/>
      <c r="H19" s="273"/>
      <c r="I19" s="233"/>
      <c r="J19" s="233"/>
      <c r="K19" s="273"/>
      <c r="L19" s="293"/>
      <c r="M19" s="278"/>
      <c r="N19" s="233"/>
      <c r="O19" s="233"/>
      <c r="P19" s="278"/>
      <c r="Q19" s="293"/>
      <c r="R19" s="233"/>
      <c r="S19" s="258"/>
      <c r="T19" s="258"/>
      <c r="U19" s="258"/>
      <c r="V19" s="235"/>
    </row>
    <row r="20" spans="1:27" x14ac:dyDescent="0.5">
      <c r="A20" s="257"/>
      <c r="B20" s="232" t="s">
        <v>199</v>
      </c>
      <c r="C20" s="55" t="s">
        <v>200</v>
      </c>
      <c r="D20" s="233"/>
      <c r="E20" s="233"/>
      <c r="F20" s="55"/>
      <c r="G20" s="293"/>
      <c r="H20" s="273"/>
      <c r="I20" s="233"/>
      <c r="J20" s="233"/>
      <c r="K20" s="273"/>
      <c r="L20" s="293"/>
      <c r="M20" s="278"/>
      <c r="N20" s="233"/>
      <c r="O20" s="233"/>
      <c r="P20" s="278"/>
      <c r="Q20" s="293"/>
      <c r="R20" s="233"/>
      <c r="S20" s="258"/>
      <c r="T20" s="258"/>
      <c r="U20" s="258"/>
      <c r="V20" s="235"/>
    </row>
    <row r="21" spans="1:27" ht="32.25" thickBot="1" x14ac:dyDescent="0.55000000000000004">
      <c r="A21" s="259"/>
      <c r="B21" s="260" t="s">
        <v>201</v>
      </c>
      <c r="C21" s="269">
        <f>SUM(Калькуляция!G11:G14)</f>
        <v>822544.45</v>
      </c>
      <c r="D21" s="243"/>
      <c r="E21" s="243"/>
      <c r="F21" s="244">
        <f>ROUND(SUM(C21:E21)*0.2,2)</f>
        <v>164508.89000000001</v>
      </c>
      <c r="G21" s="294">
        <f>C21+D21+E21+F21</f>
        <v>987053.34</v>
      </c>
      <c r="H21" s="274">
        <f>SUM(Калькуляция1!G11:G14)</f>
        <v>887931.71</v>
      </c>
      <c r="I21" s="242"/>
      <c r="J21" s="242"/>
      <c r="K21" s="274">
        <f t="shared" si="0"/>
        <v>177586.34</v>
      </c>
      <c r="L21" s="294">
        <f t="shared" si="5"/>
        <v>1065518.05</v>
      </c>
      <c r="M21" s="279">
        <f>SUM(Калькуляция2!G11:G14)</f>
        <v>964671.45000000007</v>
      </c>
      <c r="N21" s="242"/>
      <c r="O21" s="242"/>
      <c r="P21" s="279">
        <f t="shared" si="1"/>
        <v>192934.29</v>
      </c>
      <c r="Q21" s="294">
        <f t="shared" si="2"/>
        <v>1157605.74</v>
      </c>
      <c r="R21" s="242">
        <f t="shared" si="3"/>
        <v>1070059.04</v>
      </c>
      <c r="S21" s="318">
        <f t="shared" si="4"/>
        <v>987053.34</v>
      </c>
      <c r="T21" s="318">
        <f>ROUND(S21*0.9892,2)</f>
        <v>976393.16</v>
      </c>
      <c r="U21" s="318">
        <f>ROUND(T21*0.9892,2)</f>
        <v>965848.11</v>
      </c>
      <c r="V21" s="235"/>
    </row>
    <row r="22" spans="1:27" s="256" customFormat="1" ht="27.75" x14ac:dyDescent="0.4">
      <c r="A22" s="310" t="s">
        <v>206</v>
      </c>
      <c r="B22" s="254" t="s">
        <v>207</v>
      </c>
      <c r="C22" s="230">
        <f>ROUND(SUMPRODUCT(Калькуляция!$F$15:$F$18,Калькуляция!$G$15:$G$18),2)</f>
        <v>40870755.840000004</v>
      </c>
      <c r="D22" s="240"/>
      <c r="E22" s="240"/>
      <c r="F22" s="230">
        <f>ROUND(SUM(C22:E22)*0.2,2)</f>
        <v>8174151.1699999999</v>
      </c>
      <c r="G22" s="313">
        <f>C22+D22+E22+F22</f>
        <v>49044907.010000005</v>
      </c>
      <c r="H22" s="275">
        <f>ROUND(SUMPRODUCT(Калькуляция1!$F$15:$F$18,Калькуляция1!$G$15:$G$18),2)</f>
        <v>44949098.560000002</v>
      </c>
      <c r="I22" s="314"/>
      <c r="J22" s="314"/>
      <c r="K22" s="275">
        <f t="shared" si="0"/>
        <v>8989819.7100000009</v>
      </c>
      <c r="L22" s="313">
        <f t="shared" si="5"/>
        <v>53938918.270000003</v>
      </c>
      <c r="M22" s="315">
        <f>ROUND(SUMPRODUCT(Калькуляция2!$F$15:$F$18,Калькуляция2!$G$15:$G$18),2)</f>
        <v>49104698.880000003</v>
      </c>
      <c r="N22" s="316"/>
      <c r="O22" s="316"/>
      <c r="P22" s="315">
        <f t="shared" si="1"/>
        <v>9820939.7799999993</v>
      </c>
      <c r="Q22" s="313">
        <f t="shared" si="2"/>
        <v>58925638.660000004</v>
      </c>
      <c r="R22" s="316">
        <f t="shared" si="3"/>
        <v>53969821.310000002</v>
      </c>
      <c r="S22" s="317">
        <f t="shared" si="4"/>
        <v>49044907.010000005</v>
      </c>
      <c r="T22" s="317">
        <f>H22</f>
        <v>44949098.560000002</v>
      </c>
      <c r="U22" s="317">
        <f>T22</f>
        <v>44949098.560000002</v>
      </c>
      <c r="V22" s="263"/>
      <c r="W22" s="233"/>
      <c r="Y22" s="332"/>
      <c r="Z22" s="332"/>
      <c r="AA22" s="332"/>
    </row>
    <row r="23" spans="1:27" ht="27.75" x14ac:dyDescent="0.4">
      <c r="A23" s="257"/>
      <c r="B23" s="232" t="s">
        <v>198</v>
      </c>
      <c r="C23" s="55">
        <f>Калькуляция!F15</f>
        <v>32</v>
      </c>
      <c r="D23" s="233"/>
      <c r="E23" s="233"/>
      <c r="F23" s="55"/>
      <c r="G23" s="293"/>
      <c r="H23" s="273"/>
      <c r="I23" s="233"/>
      <c r="J23" s="233"/>
      <c r="K23" s="273"/>
      <c r="L23" s="293"/>
      <c r="M23" s="278"/>
      <c r="N23" s="233"/>
      <c r="O23" s="233"/>
      <c r="P23" s="278"/>
      <c r="Q23" s="293"/>
      <c r="R23" s="233"/>
      <c r="S23" s="258"/>
      <c r="T23" s="258"/>
      <c r="U23" s="258"/>
      <c r="V23" s="263"/>
      <c r="W23" s="233"/>
    </row>
    <row r="24" spans="1:27" ht="27.75" x14ac:dyDescent="0.4">
      <c r="A24" s="257"/>
      <c r="B24" s="232" t="s">
        <v>199</v>
      </c>
      <c r="C24" s="55" t="s">
        <v>200</v>
      </c>
      <c r="D24" s="233"/>
      <c r="E24" s="233"/>
      <c r="F24" s="55"/>
      <c r="G24" s="293"/>
      <c r="H24" s="273"/>
      <c r="I24" s="233"/>
      <c r="J24" s="233"/>
      <c r="K24" s="273"/>
      <c r="L24" s="293"/>
      <c r="M24" s="278"/>
      <c r="N24" s="233"/>
      <c r="O24" s="233"/>
      <c r="P24" s="278"/>
      <c r="Q24" s="293"/>
      <c r="R24" s="233"/>
      <c r="S24" s="258"/>
      <c r="T24" s="258"/>
      <c r="U24" s="258"/>
      <c r="V24" s="263"/>
      <c r="W24" s="233"/>
    </row>
    <row r="25" spans="1:27" ht="28.5" thickBot="1" x14ac:dyDescent="0.45">
      <c r="A25" s="259"/>
      <c r="B25" s="260" t="s">
        <v>201</v>
      </c>
      <c r="C25" s="269">
        <f>SUM(Калькуляция!G15:G18)</f>
        <v>1277211.1200000001</v>
      </c>
      <c r="D25" s="243"/>
      <c r="E25" s="243"/>
      <c r="F25" s="244">
        <f>ROUND(SUM(C25:E25)*0.2,2)</f>
        <v>255442.22</v>
      </c>
      <c r="G25" s="294">
        <f>C25+D25+E25+F25</f>
        <v>1532653.34</v>
      </c>
      <c r="H25" s="274">
        <f>SUM(Калькуляция1!G15:G18)</f>
        <v>1404659.33</v>
      </c>
      <c r="I25" s="242"/>
      <c r="J25" s="242"/>
      <c r="K25" s="274">
        <f t="shared" si="0"/>
        <v>280931.87</v>
      </c>
      <c r="L25" s="294">
        <f t="shared" si="5"/>
        <v>1685591.2000000002</v>
      </c>
      <c r="M25" s="279">
        <f>SUM(Калькуляция2!G15:G18)</f>
        <v>1534521.8399999999</v>
      </c>
      <c r="N25" s="242"/>
      <c r="O25" s="242"/>
      <c r="P25" s="279">
        <f t="shared" si="1"/>
        <v>306904.37</v>
      </c>
      <c r="Q25" s="294">
        <f t="shared" si="2"/>
        <v>1841426.21</v>
      </c>
      <c r="R25" s="242">
        <f t="shared" si="3"/>
        <v>1686556.92</v>
      </c>
      <c r="S25" s="318">
        <f t="shared" si="4"/>
        <v>1532653.34</v>
      </c>
      <c r="T25" s="318">
        <f>ROUND(S25*0.9892,2)</f>
        <v>1516100.68</v>
      </c>
      <c r="U25" s="318">
        <f>T25</f>
        <v>1516100.68</v>
      </c>
      <c r="V25" s="263"/>
      <c r="W25" s="233"/>
    </row>
    <row r="26" spans="1:27" outlineLevel="1" x14ac:dyDescent="0.5">
      <c r="A26" s="358" t="s">
        <v>314</v>
      </c>
      <c r="B26" s="239" t="s">
        <v>303</v>
      </c>
      <c r="C26" s="270">
        <f>SUM(Калькуляция!I19:I110)</f>
        <v>69050679.290000007</v>
      </c>
      <c r="D26" s="240"/>
      <c r="E26" s="240"/>
      <c r="F26" s="230"/>
      <c r="G26" s="319"/>
      <c r="H26" s="275">
        <f>SUM(Калькуляция1!I19:I30)</f>
        <v>77034911.780000001</v>
      </c>
      <c r="I26" s="314"/>
      <c r="J26" s="314"/>
      <c r="K26" s="275"/>
      <c r="L26" s="319"/>
      <c r="M26" s="280">
        <f>SUM(Калькуляция2!I19:I30)</f>
        <v>82542878.609999999</v>
      </c>
      <c r="N26" s="314"/>
      <c r="O26" s="314"/>
      <c r="P26" s="280"/>
      <c r="Q26" s="319"/>
      <c r="R26" s="314"/>
      <c r="S26" s="320"/>
      <c r="T26" s="320"/>
      <c r="U26" s="320"/>
      <c r="V26" s="235"/>
    </row>
    <row r="27" spans="1:27" outlineLevel="1" x14ac:dyDescent="0.5">
      <c r="A27" s="359"/>
      <c r="B27" s="232" t="s">
        <v>304</v>
      </c>
      <c r="C27" s="55">
        <f>Калькуляция!I120</f>
        <v>57839658.350000001</v>
      </c>
      <c r="D27" s="234"/>
      <c r="E27" s="234"/>
      <c r="F27" s="67"/>
      <c r="G27" s="293"/>
      <c r="H27" s="273">
        <f>Калькуляция1!I40</f>
        <v>63406647.700000003</v>
      </c>
      <c r="I27" s="233"/>
      <c r="J27" s="233"/>
      <c r="K27" s="273"/>
      <c r="L27" s="293"/>
      <c r="M27" s="278">
        <f>Калькуляция2!I40</f>
        <v>68469966.799999997</v>
      </c>
      <c r="N27" s="233"/>
      <c r="O27" s="233"/>
      <c r="P27" s="278"/>
      <c r="Q27" s="293"/>
      <c r="R27" s="233"/>
      <c r="S27" s="258"/>
      <c r="T27" s="258"/>
      <c r="U27" s="258"/>
      <c r="V27" s="235"/>
    </row>
    <row r="28" spans="1:27" ht="33.75" x14ac:dyDescent="0.5">
      <c r="A28" s="359"/>
      <c r="B28" s="237" t="s">
        <v>315</v>
      </c>
      <c r="C28" s="55">
        <f>C27+C26</f>
        <v>126890337.64000002</v>
      </c>
      <c r="D28" s="234"/>
      <c r="E28" s="234"/>
      <c r="F28" s="67">
        <f>ROUND(SUM(C28:E28)*0.2,2)</f>
        <v>25378067.530000001</v>
      </c>
      <c r="G28" s="293">
        <f>C28+D28+E28+F28</f>
        <v>152268405.17000002</v>
      </c>
      <c r="H28" s="273">
        <f>H27+H26</f>
        <v>140441559.48000002</v>
      </c>
      <c r="I28" s="233"/>
      <c r="J28" s="233"/>
      <c r="K28" s="273">
        <f>ROUND(SUM(H28:J28)*0.2,2)</f>
        <v>28088311.899999999</v>
      </c>
      <c r="L28" s="293">
        <f t="shared" si="5"/>
        <v>168529871.38000003</v>
      </c>
      <c r="M28" s="278">
        <f>SUM(Калькуляция2!I19:I30)+Калькуляция2!I40</f>
        <v>151012845.41</v>
      </c>
      <c r="N28" s="233"/>
      <c r="O28" s="233"/>
      <c r="P28" s="278">
        <f t="shared" si="1"/>
        <v>30202569.079999998</v>
      </c>
      <c r="Q28" s="293">
        <f t="shared" si="2"/>
        <v>181215414.49000001</v>
      </c>
      <c r="R28" s="233">
        <f t="shared" si="3"/>
        <v>167337897.00999999</v>
      </c>
      <c r="S28" s="258">
        <f t="shared" si="4"/>
        <v>152268405.17000002</v>
      </c>
      <c r="T28" s="258">
        <f>ROUND(S28*0.9892,2)</f>
        <v>150623906.38999999</v>
      </c>
      <c r="U28" s="258">
        <f>T28-17959414.65</f>
        <v>132664491.73999998</v>
      </c>
      <c r="V28" s="238"/>
    </row>
    <row r="29" spans="1:27" ht="33.75" x14ac:dyDescent="0.5">
      <c r="A29" s="359"/>
      <c r="B29" s="237" t="s">
        <v>214</v>
      </c>
      <c r="C29" s="55">
        <f>Калькуляция!I137</f>
        <v>67951008.38000001</v>
      </c>
      <c r="D29" s="234"/>
      <c r="E29" s="234">
        <f>ROUND(C29*0.05,2)</f>
        <v>3397550.42</v>
      </c>
      <c r="F29" s="55"/>
      <c r="G29" s="293">
        <f>C29+D29+E29+F29</f>
        <v>71348558.800000012</v>
      </c>
      <c r="H29" s="273">
        <f>Калькуляция1!I57</f>
        <v>73089191.929999992</v>
      </c>
      <c r="I29" s="233"/>
      <c r="J29" s="233">
        <f>ROUND((I29+H29)*$W$9,2)</f>
        <v>3654459.6</v>
      </c>
      <c r="K29" s="273"/>
      <c r="L29" s="293">
        <f>H29+I29+J29+K29</f>
        <v>76743651.529999986</v>
      </c>
      <c r="M29" s="278">
        <f>Калькуляция2!I57</f>
        <v>74072410.320000008</v>
      </c>
      <c r="N29" s="233"/>
      <c r="O29" s="233">
        <f>ROUND((N29+M29)*$X$9,2)</f>
        <v>3703620.52</v>
      </c>
      <c r="P29" s="278"/>
      <c r="Q29" s="293">
        <f t="shared" si="2"/>
        <v>77776030.840000004</v>
      </c>
      <c r="R29" s="233">
        <f t="shared" si="3"/>
        <v>75289413.719999999</v>
      </c>
      <c r="S29" s="258">
        <f t="shared" si="4"/>
        <v>71348558.800000012</v>
      </c>
      <c r="T29" s="321">
        <f>ROUND((S29-1819706.42)*0.9892,2)</f>
        <v>68777940.769999996</v>
      </c>
      <c r="U29" s="321">
        <f>T29</f>
        <v>68777940.769999996</v>
      </c>
      <c r="V29" s="238"/>
    </row>
    <row r="30" spans="1:27" s="248" customFormat="1" ht="132" thickBot="1" x14ac:dyDescent="0.3">
      <c r="A30" s="360"/>
      <c r="B30" s="309" t="s">
        <v>208</v>
      </c>
      <c r="C30" s="271">
        <f>C29+C28</f>
        <v>194841346.02000004</v>
      </c>
      <c r="D30" s="292">
        <f>D31/C31</f>
        <v>5.3256411891681808E-2</v>
      </c>
      <c r="E30" s="245">
        <f>(E29+E31)/(C31+D31)</f>
        <v>0.1168318648934835</v>
      </c>
      <c r="F30" s="271">
        <f>F28</f>
        <v>25378067.530000001</v>
      </c>
      <c r="G30" s="322">
        <f>G29+G28</f>
        <v>223616963.97000003</v>
      </c>
      <c r="H30" s="276">
        <f>H29+H28</f>
        <v>213530751.41000003</v>
      </c>
      <c r="I30" s="245"/>
      <c r="J30" s="245"/>
      <c r="K30" s="276">
        <f>K28</f>
        <v>28088311.899999999</v>
      </c>
      <c r="L30" s="322">
        <f>L29+L28</f>
        <v>245273522.91000003</v>
      </c>
      <c r="M30" s="311">
        <f>M29+M28</f>
        <v>225085255.73000002</v>
      </c>
      <c r="N30" s="323"/>
      <c r="O30" s="323"/>
      <c r="P30" s="311">
        <f>P28</f>
        <v>30202569.079999998</v>
      </c>
      <c r="Q30" s="322">
        <f>Q29+Q28</f>
        <v>258991445.33000001</v>
      </c>
      <c r="R30" s="323">
        <f t="shared" si="3"/>
        <v>242627310.74000001</v>
      </c>
      <c r="S30" s="324">
        <f t="shared" si="4"/>
        <v>223616963.97000003</v>
      </c>
      <c r="T30" s="325">
        <f>T29+T28</f>
        <v>219401847.15999997</v>
      </c>
      <c r="U30" s="325">
        <f>U29+U28</f>
        <v>201442432.50999999</v>
      </c>
      <c r="V30" s="246"/>
      <c r="W30" s="247"/>
      <c r="Y30" s="333"/>
      <c r="Z30" s="333"/>
      <c r="AA30" s="333"/>
    </row>
    <row r="31" spans="1:27" x14ac:dyDescent="0.5">
      <c r="A31" s="358" t="s">
        <v>316</v>
      </c>
      <c r="B31" s="264" t="s">
        <v>215</v>
      </c>
      <c r="C31" s="270">
        <f>Калькуляция!I153+Калькуляция!I154+Калькуляция!I158</f>
        <v>89351270.409999996</v>
      </c>
      <c r="D31" s="240">
        <f>Калькуляция!I173</f>
        <v>4758528.0600000005</v>
      </c>
      <c r="E31" s="240">
        <f>Калькуляция!I176-E29</f>
        <v>7597472.8399999999</v>
      </c>
      <c r="F31" s="230">
        <f>ROUND(SUM(C31:E31)*0.2,2)</f>
        <v>20341454.260000002</v>
      </c>
      <c r="G31" s="319">
        <f>C31+D31+E31+F31</f>
        <v>122048725.57000001</v>
      </c>
      <c r="H31" s="275">
        <f>Калькуляция1!I71+Калькуляция1!I72+Калькуляция1!I76</f>
        <v>98904441.379999995</v>
      </c>
      <c r="I31" s="314">
        <f>Калькуляция1!I92</f>
        <v>6444495</v>
      </c>
      <c r="J31" s="314">
        <f>Калькуляция1!I95-J29</f>
        <v>8437779.2000000011</v>
      </c>
      <c r="K31" s="275">
        <f>ROUND(SUM(H31:J31)*0.2,2)</f>
        <v>22757343.120000001</v>
      </c>
      <c r="L31" s="319">
        <f>H31+I31+J31+K31</f>
        <v>136544058.69999999</v>
      </c>
      <c r="M31" s="280">
        <f>Калькуляция2!I71+Калькуляция2!I70+Калькуляция2!I75</f>
        <v>95203639.319999993</v>
      </c>
      <c r="N31" s="314">
        <f>Калькуляция2!I90</f>
        <v>5261220</v>
      </c>
      <c r="O31" s="314">
        <f>Калькуляция2!I93-O29</f>
        <v>8446741.3000000007</v>
      </c>
      <c r="P31" s="280">
        <f t="shared" si="1"/>
        <v>21782320.120000001</v>
      </c>
      <c r="Q31" s="319">
        <f t="shared" si="2"/>
        <v>130693920.73999999</v>
      </c>
      <c r="R31" s="314">
        <f t="shared" si="3"/>
        <v>129762235</v>
      </c>
      <c r="S31" s="320">
        <f t="shared" si="4"/>
        <v>122048725.57000001</v>
      </c>
      <c r="T31" s="320">
        <f>ROUND(S31*0.9892,2)</f>
        <v>120730599.33</v>
      </c>
      <c r="U31" s="320">
        <f>T31</f>
        <v>120730599.33</v>
      </c>
      <c r="V31" s="252"/>
    </row>
    <row r="32" spans="1:27" x14ac:dyDescent="0.5">
      <c r="A32" s="359"/>
      <c r="B32" s="237" t="s">
        <v>99</v>
      </c>
      <c r="C32" s="55">
        <f>Калькуляция!I156</f>
        <v>49550508.18</v>
      </c>
      <c r="D32" s="234"/>
      <c r="E32" s="234"/>
      <c r="F32" s="67">
        <f>ROUND(SUM(C32:E32)*0.2,2)-0.01</f>
        <v>9910101.6300000008</v>
      </c>
      <c r="G32" s="293">
        <f>C32+F32</f>
        <v>59460609.810000002</v>
      </c>
      <c r="H32" s="273">
        <f>Калькуляция1!I74</f>
        <v>52348768.019999996</v>
      </c>
      <c r="I32" s="233"/>
      <c r="J32" s="233"/>
      <c r="K32" s="273">
        <f t="shared" si="0"/>
        <v>10469753.6</v>
      </c>
      <c r="L32" s="293">
        <f t="shared" si="5"/>
        <v>62818521.619999997</v>
      </c>
      <c r="M32" s="278">
        <f>Калькуляция2!I73</f>
        <v>53438540.640000001</v>
      </c>
      <c r="N32" s="233"/>
      <c r="O32" s="233"/>
      <c r="P32" s="278">
        <f>ROUND(SUM(M32:O32)*0.2,2)</f>
        <v>10687708.130000001</v>
      </c>
      <c r="Q32" s="293">
        <f>M32+N32+O32+P32</f>
        <v>64126248.770000003</v>
      </c>
      <c r="R32" s="233">
        <f t="shared" si="3"/>
        <v>62135126.729999997</v>
      </c>
      <c r="S32" s="258">
        <f t="shared" si="4"/>
        <v>59460609.810000002</v>
      </c>
      <c r="T32" s="258">
        <f>ROUND(S32*0.9892,2)</f>
        <v>58818435.219999999</v>
      </c>
      <c r="U32" s="258">
        <f>T32</f>
        <v>58818435.219999999</v>
      </c>
      <c r="V32" s="252"/>
    </row>
    <row r="33" spans="1:27" ht="53.25" thickBot="1" x14ac:dyDescent="0.55000000000000004">
      <c r="A33" s="360"/>
      <c r="B33" s="241" t="s">
        <v>209</v>
      </c>
      <c r="C33" s="269">
        <f>C32+C31</f>
        <v>138901778.59</v>
      </c>
      <c r="D33" s="243">
        <f>D31</f>
        <v>4758528.0600000005</v>
      </c>
      <c r="E33" s="243">
        <f>E31</f>
        <v>7597472.8399999999</v>
      </c>
      <c r="F33" s="244">
        <f>F31+F32</f>
        <v>30251555.890000001</v>
      </c>
      <c r="G33" s="326">
        <f>G32+G31</f>
        <v>181509335.38</v>
      </c>
      <c r="H33" s="274">
        <f>H32+H31</f>
        <v>151253209.39999998</v>
      </c>
      <c r="I33" s="242">
        <f>I31</f>
        <v>6444495</v>
      </c>
      <c r="J33" s="242">
        <f>J31</f>
        <v>8437779.2000000011</v>
      </c>
      <c r="K33" s="274">
        <f>K32+K31</f>
        <v>33227096.719999999</v>
      </c>
      <c r="L33" s="326">
        <f t="shared" si="5"/>
        <v>199362580.31999996</v>
      </c>
      <c r="M33" s="312">
        <f>M32+M31</f>
        <v>148642179.95999998</v>
      </c>
      <c r="N33" s="327">
        <f>+N31</f>
        <v>5261220</v>
      </c>
      <c r="O33" s="327">
        <f>O31</f>
        <v>8446741.3000000007</v>
      </c>
      <c r="P33" s="312">
        <f>P32+P31</f>
        <v>32470028.25</v>
      </c>
      <c r="Q33" s="326">
        <f>M33+N33+O33+P33</f>
        <v>194820169.50999999</v>
      </c>
      <c r="R33" s="327">
        <f t="shared" si="3"/>
        <v>191897361.74000001</v>
      </c>
      <c r="S33" s="328">
        <f t="shared" si="4"/>
        <v>181509335.38</v>
      </c>
      <c r="T33" s="328">
        <f>T32+T31</f>
        <v>179549034.55000001</v>
      </c>
      <c r="U33" s="328">
        <f>U32+U31</f>
        <v>179549034.55000001</v>
      </c>
      <c r="V33" s="252"/>
    </row>
    <row r="34" spans="1:27" s="268" customFormat="1" ht="78" customHeight="1" thickBot="1" x14ac:dyDescent="0.6">
      <c r="A34" s="343">
        <v>2</v>
      </c>
      <c r="B34" s="338" t="s">
        <v>210</v>
      </c>
      <c r="C34" s="339">
        <f>C33+C30+C22+C18+C14+C10</f>
        <v>694351062.55000007</v>
      </c>
      <c r="D34" s="340">
        <f>D33+D30+D22+D18+D14+D10</f>
        <v>4758528.1132564126</v>
      </c>
      <c r="E34" s="340">
        <f>E33+E29</f>
        <v>10995023.26</v>
      </c>
      <c r="F34" s="341">
        <f>F33+F30+F22+F18+F14+F10</f>
        <v>127751211.01000002</v>
      </c>
      <c r="G34" s="348">
        <f>G33+G30+G22+G18+G14+G10</f>
        <v>837855824.88</v>
      </c>
      <c r="H34" s="349">
        <f>H33+H30+H22+H18+H14+H10</f>
        <v>750729627.67000008</v>
      </c>
      <c r="I34" s="350">
        <f t="shared" ref="I34:S34" si="6">I33+I30+I22+I18+I14+I10</f>
        <v>6444495</v>
      </c>
      <c r="J34" s="350">
        <f>J33+J29</f>
        <v>12092238.800000001</v>
      </c>
      <c r="K34" s="349">
        <f t="shared" si="6"/>
        <v>138504541.99000001</v>
      </c>
      <c r="L34" s="348">
        <f>L33+L30+L22+L18+L14+L10</f>
        <v>907770903.46000004</v>
      </c>
      <c r="M34" s="351">
        <f t="shared" si="6"/>
        <v>793248830.07999992</v>
      </c>
      <c r="N34" s="350">
        <f t="shared" si="6"/>
        <v>5261220</v>
      </c>
      <c r="O34" s="350">
        <f>O33+O29</f>
        <v>12150361.82</v>
      </c>
      <c r="P34" s="351">
        <f t="shared" si="6"/>
        <v>146576876.21000001</v>
      </c>
      <c r="Q34" s="348">
        <f t="shared" si="6"/>
        <v>957237288.11000001</v>
      </c>
      <c r="R34" s="350">
        <f t="shared" si="6"/>
        <v>900954672.16000009</v>
      </c>
      <c r="S34" s="352" t="s">
        <v>192</v>
      </c>
      <c r="T34" s="353">
        <f>T33+T30+T22+T18+T14+T10</f>
        <v>808333217.64999998</v>
      </c>
      <c r="U34" s="353">
        <f>U10+U14+U18+U22+U30+U33</f>
        <v>790373803</v>
      </c>
      <c r="V34" s="266"/>
      <c r="W34" s="267"/>
      <c r="X34" s="267"/>
      <c r="Y34" s="334"/>
      <c r="Z34" s="335"/>
      <c r="AA34" s="335"/>
    </row>
    <row r="35" spans="1:27" s="282" customFormat="1" ht="36.75" thickBot="1" x14ac:dyDescent="0.6">
      <c r="A35" s="265">
        <v>3</v>
      </c>
      <c r="B35" s="346" t="s">
        <v>325</v>
      </c>
      <c r="C35" s="342"/>
      <c r="D35" s="342"/>
      <c r="E35" s="342"/>
      <c r="F35" s="342"/>
      <c r="G35" s="344">
        <v>127751211.01000001</v>
      </c>
      <c r="H35" s="344"/>
      <c r="I35" s="344"/>
      <c r="J35" s="344"/>
      <c r="K35" s="344"/>
      <c r="L35" s="344">
        <v>138504541.99000001</v>
      </c>
      <c r="M35" s="344"/>
      <c r="N35" s="344"/>
      <c r="O35" s="344"/>
      <c r="P35" s="344"/>
      <c r="Q35" s="344">
        <v>146576876.21000001</v>
      </c>
      <c r="R35" s="344">
        <v>137610876.41</v>
      </c>
      <c r="S35" s="344" t="s">
        <v>192</v>
      </c>
      <c r="T35" s="345">
        <v>123259212.81</v>
      </c>
      <c r="U35" s="345">
        <v>120811833.70999999</v>
      </c>
      <c r="W35" s="284"/>
      <c r="Y35" s="336"/>
      <c r="Z35" s="331"/>
      <c r="AA35" s="331"/>
    </row>
    <row r="36" spans="1:27" s="282" customFormat="1" ht="69.75" customHeight="1" x14ac:dyDescent="0.55000000000000004">
      <c r="A36" s="281"/>
      <c r="B36" s="354" t="s">
        <v>322</v>
      </c>
      <c r="C36" s="355"/>
      <c r="D36" s="355"/>
      <c r="E36" s="355"/>
      <c r="F36" s="355"/>
      <c r="G36" s="356"/>
      <c r="H36" s="355"/>
      <c r="I36" s="355"/>
      <c r="J36" s="355"/>
      <c r="K36" s="355"/>
      <c r="L36" s="354" t="s">
        <v>319</v>
      </c>
      <c r="R36" s="347"/>
      <c r="S36" s="283"/>
      <c r="T36" s="283"/>
      <c r="U36" s="415"/>
      <c r="W36" s="284"/>
      <c r="Y36" s="337"/>
      <c r="Z36" s="331"/>
      <c r="AA36" s="331"/>
    </row>
    <row r="37" spans="1:27" s="282" customFormat="1" ht="69.75" customHeight="1" x14ac:dyDescent="0.5">
      <c r="A37" s="281"/>
      <c r="B37" s="354" t="s">
        <v>323</v>
      </c>
      <c r="C37" s="355"/>
      <c r="D37" s="355"/>
      <c r="E37" s="355"/>
      <c r="F37" s="355"/>
      <c r="G37" s="357"/>
      <c r="H37" s="355"/>
      <c r="I37" s="355"/>
      <c r="J37" s="355"/>
      <c r="K37" s="355"/>
      <c r="L37" s="354" t="s">
        <v>320</v>
      </c>
      <c r="Q37" s="347"/>
      <c r="S37" s="283"/>
      <c r="T37" s="283"/>
      <c r="U37" s="283"/>
      <c r="W37" s="284"/>
      <c r="Y37" s="331"/>
      <c r="Z37" s="331"/>
      <c r="AA37" s="331"/>
    </row>
    <row r="38" spans="1:27" s="282" customFormat="1" ht="69.75" customHeight="1" x14ac:dyDescent="0.5">
      <c r="A38" s="281"/>
      <c r="B38" s="354" t="s">
        <v>324</v>
      </c>
      <c r="C38" s="355"/>
      <c r="D38" s="355"/>
      <c r="E38" s="355"/>
      <c r="F38" s="355"/>
      <c r="G38" s="357"/>
      <c r="H38" s="355"/>
      <c r="I38" s="355"/>
      <c r="J38" s="355"/>
      <c r="K38" s="355"/>
      <c r="L38" s="354" t="s">
        <v>321</v>
      </c>
      <c r="Q38" s="347"/>
      <c r="S38" s="283"/>
      <c r="T38" s="283"/>
      <c r="U38" s="283"/>
      <c r="W38" s="284"/>
      <c r="Y38" s="331"/>
      <c r="Z38" s="331"/>
      <c r="AA38" s="331"/>
    </row>
    <row r="39" spans="1:27" s="282" customFormat="1" x14ac:dyDescent="0.5">
      <c r="A39" s="281"/>
      <c r="S39" s="283"/>
      <c r="T39" s="283"/>
      <c r="U39" s="283"/>
      <c r="W39" s="284"/>
      <c r="Y39" s="331"/>
      <c r="Z39" s="331"/>
      <c r="AA39" s="331"/>
    </row>
    <row r="40" spans="1:27" s="282" customFormat="1" x14ac:dyDescent="0.5">
      <c r="A40" s="281"/>
      <c r="S40" s="283"/>
      <c r="T40" s="283"/>
      <c r="U40" s="283"/>
      <c r="W40" s="284"/>
      <c r="Y40" s="331"/>
      <c r="Z40" s="331"/>
      <c r="AA40" s="331"/>
    </row>
    <row r="41" spans="1:27" s="282" customFormat="1" x14ac:dyDescent="0.5">
      <c r="A41" s="281"/>
      <c r="S41" s="283"/>
      <c r="T41" s="283"/>
      <c r="U41" s="283"/>
      <c r="W41" s="284"/>
      <c r="Y41" s="331"/>
      <c r="Z41" s="331"/>
      <c r="AA41" s="331"/>
    </row>
    <row r="42" spans="1:27" s="282" customFormat="1" x14ac:dyDescent="0.5">
      <c r="A42" s="281"/>
      <c r="S42" s="283"/>
      <c r="T42" s="283"/>
      <c r="U42" s="283"/>
      <c r="W42" s="284"/>
      <c r="Y42" s="331"/>
      <c r="Z42" s="331"/>
      <c r="AA42" s="331"/>
    </row>
    <row r="43" spans="1:27" s="282" customFormat="1" x14ac:dyDescent="0.5">
      <c r="A43" s="281"/>
      <c r="S43" s="283"/>
      <c r="T43" s="283"/>
      <c r="U43" s="283"/>
      <c r="W43" s="284"/>
      <c r="Y43" s="331"/>
      <c r="Z43" s="331"/>
      <c r="AA43" s="331"/>
    </row>
    <row r="44" spans="1:27" s="282" customFormat="1" x14ac:dyDescent="0.5">
      <c r="A44" s="281"/>
      <c r="S44" s="283"/>
      <c r="T44" s="283"/>
      <c r="U44" s="283"/>
      <c r="W44" s="284"/>
      <c r="Y44" s="331"/>
      <c r="Z44" s="331"/>
      <c r="AA44" s="331"/>
    </row>
    <row r="45" spans="1:27" s="282" customFormat="1" x14ac:dyDescent="0.5">
      <c r="A45" s="281"/>
      <c r="S45" s="283"/>
      <c r="T45" s="283"/>
      <c r="U45" s="283"/>
      <c r="W45" s="284"/>
      <c r="Y45" s="331"/>
      <c r="Z45" s="331"/>
      <c r="AA45" s="331"/>
    </row>
    <row r="46" spans="1:27" s="282" customFormat="1" x14ac:dyDescent="0.5">
      <c r="A46" s="281"/>
      <c r="S46" s="283"/>
      <c r="T46" s="283"/>
      <c r="U46" s="283"/>
      <c r="W46" s="284"/>
      <c r="Y46" s="331"/>
      <c r="Z46" s="331"/>
      <c r="AA46" s="331"/>
    </row>
    <row r="47" spans="1:27" s="282" customFormat="1" x14ac:dyDescent="0.5">
      <c r="A47" s="281"/>
      <c r="S47" s="283"/>
      <c r="T47" s="283"/>
      <c r="U47" s="283"/>
      <c r="W47" s="284"/>
      <c r="Y47" s="331"/>
      <c r="Z47" s="331"/>
      <c r="AA47" s="331"/>
    </row>
    <row r="48" spans="1:27" s="282" customFormat="1" x14ac:dyDescent="0.5">
      <c r="A48" s="281"/>
      <c r="S48" s="283"/>
      <c r="T48" s="283"/>
      <c r="U48" s="283"/>
      <c r="W48" s="284"/>
      <c r="Y48" s="331"/>
      <c r="Z48" s="331"/>
      <c r="AA48" s="331"/>
    </row>
  </sheetData>
  <mergeCells count="6">
    <mergeCell ref="A31:A33"/>
    <mergeCell ref="B2:R2"/>
    <mergeCell ref="B3:R3"/>
    <mergeCell ref="C5:Q5"/>
    <mergeCell ref="C8:Q8"/>
    <mergeCell ref="A26:A30"/>
  </mergeCells>
  <pageMargins left="1" right="1" top="1" bottom="1" header="0.5" footer="0.5"/>
  <pageSetup paperSize="9" scale="28" orientation="landscape" r:id="rId1"/>
  <colBreaks count="1" manualBreakCount="1">
    <brk id="24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3"/>
  <sheetViews>
    <sheetView topLeftCell="D103" zoomScale="70" zoomScaleNormal="70" workbookViewId="0">
      <selection activeCell="I120" sqref="I120"/>
    </sheetView>
  </sheetViews>
  <sheetFormatPr defaultColWidth="8.85546875" defaultRowHeight="14.25" x14ac:dyDescent="0.2"/>
  <cols>
    <col min="1" max="1" width="5.140625" style="42" customWidth="1"/>
    <col min="2" max="2" width="17" style="42" customWidth="1"/>
    <col min="3" max="3" width="25" style="22" customWidth="1"/>
    <col min="4" max="4" width="59.28515625" style="22" customWidth="1"/>
    <col min="5" max="5" width="14.7109375" style="22" customWidth="1"/>
    <col min="6" max="6" width="18" style="43" customWidth="1"/>
    <col min="7" max="7" width="17.28515625" style="22" customWidth="1"/>
    <col min="8" max="8" width="22.28515625" style="22" bestFit="1" customWidth="1"/>
    <col min="9" max="10" width="20.85546875" style="22" customWidth="1"/>
    <col min="11" max="11" width="20.85546875" style="21" customWidth="1"/>
    <col min="12" max="14" width="20.85546875" style="22" customWidth="1"/>
    <col min="15" max="15" width="20.85546875" style="228" customWidth="1"/>
    <col min="16" max="16" width="23.28515625" style="228" customWidth="1"/>
    <col min="17" max="17" width="45.140625" style="22" customWidth="1"/>
    <col min="18" max="16384" width="8.85546875" style="22"/>
  </cols>
  <sheetData>
    <row r="1" spans="1:15" ht="15" x14ac:dyDescent="0.2">
      <c r="A1" s="20"/>
      <c r="B1" s="20"/>
      <c r="C1" s="197"/>
      <c r="D1" s="198" t="s">
        <v>26</v>
      </c>
      <c r="E1" s="197"/>
      <c r="F1" s="3"/>
      <c r="G1" s="197"/>
      <c r="H1" s="197"/>
      <c r="I1" s="197"/>
      <c r="J1" s="187">
        <v>0.1</v>
      </c>
    </row>
    <row r="2" spans="1:15" ht="30.75" thickBot="1" x14ac:dyDescent="0.25">
      <c r="A2" s="23" t="s">
        <v>4</v>
      </c>
      <c r="B2" s="24" t="s">
        <v>16</v>
      </c>
      <c r="C2" s="24" t="s">
        <v>17</v>
      </c>
      <c r="D2" s="24" t="s">
        <v>3</v>
      </c>
      <c r="E2" s="24" t="s">
        <v>19</v>
      </c>
      <c r="F2" s="24" t="s">
        <v>18</v>
      </c>
      <c r="G2" s="24" t="s">
        <v>5</v>
      </c>
      <c r="H2" s="24" t="s">
        <v>14</v>
      </c>
      <c r="I2" s="24" t="s">
        <v>15</v>
      </c>
      <c r="J2" s="21"/>
      <c r="O2" s="229"/>
    </row>
    <row r="3" spans="1:15" x14ac:dyDescent="0.2">
      <c r="A3" s="378" t="s">
        <v>27</v>
      </c>
      <c r="B3" s="372" t="s">
        <v>20</v>
      </c>
      <c r="C3" s="11" t="s">
        <v>24</v>
      </c>
      <c r="D3" s="11" t="s">
        <v>181</v>
      </c>
      <c r="E3" s="192" t="s">
        <v>25</v>
      </c>
      <c r="F3" s="25">
        <v>121</v>
      </c>
      <c r="G3" s="26">
        <v>845454.55</v>
      </c>
      <c r="H3" s="160">
        <f t="shared" ref="H3:H18" si="0">G3*F3</f>
        <v>102300000.55000001</v>
      </c>
      <c r="I3" s="157">
        <f>H3</f>
        <v>102300000.55000001</v>
      </c>
      <c r="J3" s="21"/>
    </row>
    <row r="4" spans="1:15" ht="15" customHeight="1" x14ac:dyDescent="0.2">
      <c r="A4" s="379"/>
      <c r="B4" s="373"/>
      <c r="C4" s="28" t="s">
        <v>8</v>
      </c>
      <c r="D4" s="28" t="s">
        <v>301</v>
      </c>
      <c r="E4" s="193" t="s">
        <v>25</v>
      </c>
      <c r="F4" s="29">
        <v>121</v>
      </c>
      <c r="G4" s="140">
        <v>78282.83</v>
      </c>
      <c r="H4" s="195">
        <f t="shared" si="0"/>
        <v>9472222.4299999997</v>
      </c>
      <c r="I4" s="161">
        <f t="shared" ref="I4" si="1">H4</f>
        <v>9472222.4299999997</v>
      </c>
      <c r="J4" s="21"/>
    </row>
    <row r="5" spans="1:15" x14ac:dyDescent="0.2">
      <c r="A5" s="379"/>
      <c r="B5" s="373"/>
      <c r="C5" s="28" t="s">
        <v>39</v>
      </c>
      <c r="D5" s="28" t="s">
        <v>96</v>
      </c>
      <c r="E5" s="193" t="s">
        <v>25</v>
      </c>
      <c r="F5" s="29">
        <v>121</v>
      </c>
      <c r="G5" s="140">
        <v>406454.55</v>
      </c>
      <c r="H5" s="195">
        <f t="shared" si="0"/>
        <v>49181000.549999997</v>
      </c>
      <c r="I5" s="161">
        <f>H5</f>
        <v>49181000.549999997</v>
      </c>
      <c r="J5" s="21">
        <f>SUM(I3:I5)</f>
        <v>160953223.53000003</v>
      </c>
      <c r="L5" s="21"/>
    </row>
    <row r="6" spans="1:15" ht="15.75" customHeight="1" thickBot="1" x14ac:dyDescent="0.25">
      <c r="A6" s="380"/>
      <c r="B6" s="374"/>
      <c r="C6" s="31" t="s">
        <v>297</v>
      </c>
      <c r="D6" s="31" t="s">
        <v>308</v>
      </c>
      <c r="E6" s="194" t="s">
        <v>25</v>
      </c>
      <c r="F6" s="33">
        <v>121</v>
      </c>
      <c r="G6" s="143">
        <v>133019.19</v>
      </c>
      <c r="H6" s="196">
        <f t="shared" si="0"/>
        <v>16095321.99</v>
      </c>
      <c r="I6" s="162">
        <f>H6</f>
        <v>16095321.99</v>
      </c>
      <c r="J6" s="21"/>
      <c r="K6" s="158">
        <f>ROUND(J5*$J$1/F6,2)</f>
        <v>133019.19</v>
      </c>
      <c r="L6" s="158">
        <f>K6*F6</f>
        <v>16095321.99</v>
      </c>
      <c r="M6" s="21">
        <v>8357141.0999999996</v>
      </c>
      <c r="N6" s="21"/>
    </row>
    <row r="7" spans="1:15" x14ac:dyDescent="0.2">
      <c r="A7" s="378" t="s">
        <v>28</v>
      </c>
      <c r="B7" s="372" t="s">
        <v>21</v>
      </c>
      <c r="C7" s="11" t="s">
        <v>24</v>
      </c>
      <c r="D7" s="11" t="s">
        <v>182</v>
      </c>
      <c r="E7" s="192" t="s">
        <v>25</v>
      </c>
      <c r="F7" s="82">
        <v>567</v>
      </c>
      <c r="G7" s="26">
        <v>135353.54</v>
      </c>
      <c r="H7" s="160">
        <f t="shared" si="0"/>
        <v>76745457.180000007</v>
      </c>
      <c r="I7" s="27">
        <f>H7</f>
        <v>76745457.180000007</v>
      </c>
      <c r="J7" s="21"/>
    </row>
    <row r="8" spans="1:15" ht="15" customHeight="1" x14ac:dyDescent="0.2">
      <c r="A8" s="379"/>
      <c r="B8" s="373"/>
      <c r="C8" s="28" t="s">
        <v>8</v>
      </c>
      <c r="D8" s="28" t="s">
        <v>301</v>
      </c>
      <c r="E8" s="193" t="s">
        <v>25</v>
      </c>
      <c r="F8" s="29">
        <v>63</v>
      </c>
      <c r="G8" s="140">
        <v>78282.83</v>
      </c>
      <c r="H8" s="195">
        <f t="shared" si="0"/>
        <v>4931818.29</v>
      </c>
      <c r="I8" s="161">
        <f t="shared" ref="I8:I16" si="2">H8</f>
        <v>4931818.29</v>
      </c>
      <c r="J8" s="21"/>
    </row>
    <row r="9" spans="1:15" x14ac:dyDescent="0.2">
      <c r="A9" s="379"/>
      <c r="B9" s="373"/>
      <c r="C9" s="28" t="s">
        <v>39</v>
      </c>
      <c r="D9" s="28" t="s">
        <v>96</v>
      </c>
      <c r="E9" s="193" t="s">
        <v>25</v>
      </c>
      <c r="F9" s="29">
        <v>63</v>
      </c>
      <c r="G9" s="140">
        <v>406454.55</v>
      </c>
      <c r="H9" s="195">
        <f t="shared" si="0"/>
        <v>25606636.649999999</v>
      </c>
      <c r="I9" s="161">
        <f t="shared" si="2"/>
        <v>25606636.649999999</v>
      </c>
      <c r="J9" s="21">
        <f>SUM(I7:I9)</f>
        <v>107283912.12</v>
      </c>
      <c r="L9" s="21"/>
    </row>
    <row r="10" spans="1:15" ht="15.75" customHeight="1" thickBot="1" x14ac:dyDescent="0.25">
      <c r="A10" s="380"/>
      <c r="B10" s="374"/>
      <c r="C10" s="31" t="s">
        <v>297</v>
      </c>
      <c r="D10" s="31" t="s">
        <v>308</v>
      </c>
      <c r="E10" s="194" t="s">
        <v>25</v>
      </c>
      <c r="F10" s="33">
        <v>63</v>
      </c>
      <c r="G10" s="143">
        <v>170291.92</v>
      </c>
      <c r="H10" s="196">
        <f t="shared" si="0"/>
        <v>10728390.960000001</v>
      </c>
      <c r="I10" s="162">
        <f>H10</f>
        <v>10728390.960000001</v>
      </c>
      <c r="J10" s="21"/>
      <c r="K10" s="158">
        <f>ROUND(J9*$J$1/F10,2)</f>
        <v>170291.92</v>
      </c>
      <c r="L10" s="158">
        <f>K10*F10</f>
        <v>10728390.960000001</v>
      </c>
      <c r="M10" s="21">
        <v>4865071.0500000007</v>
      </c>
      <c r="N10" s="21"/>
    </row>
    <row r="11" spans="1:15" x14ac:dyDescent="0.2">
      <c r="A11" s="378" t="s">
        <v>29</v>
      </c>
      <c r="B11" s="372" t="s">
        <v>22</v>
      </c>
      <c r="C11" s="11" t="s">
        <v>24</v>
      </c>
      <c r="D11" s="11" t="s">
        <v>183</v>
      </c>
      <c r="E11" s="192" t="s">
        <v>25</v>
      </c>
      <c r="F11" s="25">
        <v>30</v>
      </c>
      <c r="G11" s="26">
        <v>263030.3</v>
      </c>
      <c r="H11" s="160">
        <f t="shared" si="0"/>
        <v>7890909</v>
      </c>
      <c r="I11" s="27">
        <f>H11</f>
        <v>7890909</v>
      </c>
      <c r="J11" s="21"/>
    </row>
    <row r="12" spans="1:15" x14ac:dyDescent="0.2">
      <c r="A12" s="379"/>
      <c r="B12" s="373"/>
      <c r="C12" s="28" t="s">
        <v>8</v>
      </c>
      <c r="D12" s="28" t="s">
        <v>301</v>
      </c>
      <c r="E12" s="193" t="s">
        <v>25</v>
      </c>
      <c r="F12" s="29">
        <v>30</v>
      </c>
      <c r="G12" s="140">
        <v>78282.83</v>
      </c>
      <c r="H12" s="195">
        <f t="shared" si="0"/>
        <v>2348484.9</v>
      </c>
      <c r="I12" s="161">
        <f t="shared" si="2"/>
        <v>2348484.9</v>
      </c>
      <c r="J12" s="21"/>
    </row>
    <row r="13" spans="1:15" x14ac:dyDescent="0.2">
      <c r="A13" s="379"/>
      <c r="B13" s="373"/>
      <c r="C13" s="28" t="s">
        <v>39</v>
      </c>
      <c r="D13" s="28" t="s">
        <v>96</v>
      </c>
      <c r="E13" s="193" t="s">
        <v>25</v>
      </c>
      <c r="F13" s="29">
        <v>30</v>
      </c>
      <c r="G13" s="140">
        <v>406454.55</v>
      </c>
      <c r="H13" s="195">
        <f t="shared" si="0"/>
        <v>12193636.5</v>
      </c>
      <c r="I13" s="161">
        <f t="shared" ref="I13" si="3">H13</f>
        <v>12193636.5</v>
      </c>
      <c r="J13" s="21">
        <f>SUM(I11:I13)</f>
        <v>22433030.399999999</v>
      </c>
      <c r="L13" s="21"/>
    </row>
    <row r="14" spans="1:15" ht="15" thickBot="1" x14ac:dyDescent="0.25">
      <c r="A14" s="380"/>
      <c r="B14" s="374"/>
      <c r="C14" s="31" t="s">
        <v>297</v>
      </c>
      <c r="D14" s="31" t="s">
        <v>308</v>
      </c>
      <c r="E14" s="194" t="s">
        <v>25</v>
      </c>
      <c r="F14" s="33">
        <v>30</v>
      </c>
      <c r="G14" s="143">
        <v>74776.77</v>
      </c>
      <c r="H14" s="196">
        <f t="shared" si="0"/>
        <v>2243303.1</v>
      </c>
      <c r="I14" s="162">
        <f>H14</f>
        <v>2243303.1</v>
      </c>
      <c r="J14" s="21"/>
      <c r="K14" s="158">
        <f>ROUND(J13*$J$1/F14,2)</f>
        <v>74776.77</v>
      </c>
      <c r="L14" s="158">
        <f>K14*F14</f>
        <v>2243303.1</v>
      </c>
      <c r="M14" s="21">
        <v>1291998</v>
      </c>
      <c r="N14" s="21"/>
    </row>
    <row r="15" spans="1:15" x14ac:dyDescent="0.2">
      <c r="A15" s="378" t="s">
        <v>30</v>
      </c>
      <c r="B15" s="372" t="s">
        <v>23</v>
      </c>
      <c r="C15" s="11" t="s">
        <v>24</v>
      </c>
      <c r="D15" s="11" t="s">
        <v>184</v>
      </c>
      <c r="E15" s="192" t="s">
        <v>25</v>
      </c>
      <c r="F15" s="25">
        <v>32</v>
      </c>
      <c r="G15" s="26">
        <v>676363.64</v>
      </c>
      <c r="H15" s="160">
        <f t="shared" si="0"/>
        <v>21643636.48</v>
      </c>
      <c r="I15" s="27">
        <f>H15</f>
        <v>21643636.48</v>
      </c>
      <c r="J15" s="21"/>
    </row>
    <row r="16" spans="1:15" ht="15" customHeight="1" x14ac:dyDescent="0.2">
      <c r="A16" s="379"/>
      <c r="B16" s="373"/>
      <c r="C16" s="28" t="s">
        <v>8</v>
      </c>
      <c r="D16" s="28" t="s">
        <v>301</v>
      </c>
      <c r="E16" s="193" t="s">
        <v>25</v>
      </c>
      <c r="F16" s="29">
        <v>32</v>
      </c>
      <c r="G16" s="140">
        <v>78282.83</v>
      </c>
      <c r="H16" s="195">
        <f t="shared" si="0"/>
        <v>2505050.56</v>
      </c>
      <c r="I16" s="161">
        <f t="shared" si="2"/>
        <v>2505050.56</v>
      </c>
      <c r="J16" s="21"/>
    </row>
    <row r="17" spans="1:16" x14ac:dyDescent="0.2">
      <c r="A17" s="379"/>
      <c r="B17" s="373"/>
      <c r="C17" s="28" t="s">
        <v>39</v>
      </c>
      <c r="D17" s="28" t="s">
        <v>96</v>
      </c>
      <c r="E17" s="193" t="s">
        <v>25</v>
      </c>
      <c r="F17" s="29">
        <v>32</v>
      </c>
      <c r="G17" s="140">
        <v>406454.55</v>
      </c>
      <c r="H17" s="195">
        <f t="shared" si="0"/>
        <v>13006545.6</v>
      </c>
      <c r="I17" s="161">
        <f t="shared" ref="I17" si="4">H17</f>
        <v>13006545.6</v>
      </c>
      <c r="J17" s="21">
        <f>SUM(I15:I17)</f>
        <v>37155232.640000001</v>
      </c>
      <c r="L17" s="21"/>
    </row>
    <row r="18" spans="1:16" ht="15.75" customHeight="1" thickBot="1" x14ac:dyDescent="0.25">
      <c r="A18" s="380"/>
      <c r="B18" s="374"/>
      <c r="C18" s="31" t="s">
        <v>297</v>
      </c>
      <c r="D18" s="31" t="s">
        <v>308</v>
      </c>
      <c r="E18" s="194" t="s">
        <v>25</v>
      </c>
      <c r="F18" s="33">
        <v>32</v>
      </c>
      <c r="G18" s="143">
        <v>116110.1</v>
      </c>
      <c r="H18" s="196">
        <f t="shared" si="0"/>
        <v>3715523.2</v>
      </c>
      <c r="I18" s="162">
        <f>H18</f>
        <v>3715523.2</v>
      </c>
      <c r="J18" s="21"/>
      <c r="K18" s="158">
        <f>ROUND(J17*$J$1/F18,2)</f>
        <v>116110.1</v>
      </c>
      <c r="L18" s="158">
        <f>K18*F18</f>
        <v>3715523.2</v>
      </c>
      <c r="M18" s="21">
        <v>1142794.8400000001</v>
      </c>
      <c r="N18" s="21"/>
    </row>
    <row r="19" spans="1:16" s="8" customFormat="1" ht="28.5" customHeight="1" x14ac:dyDescent="0.2">
      <c r="A19" s="369" t="s">
        <v>31</v>
      </c>
      <c r="B19" s="375" t="s">
        <v>6</v>
      </c>
      <c r="C19" s="375" t="s">
        <v>0</v>
      </c>
      <c r="D19" s="11" t="s">
        <v>110</v>
      </c>
      <c r="E19" s="189" t="s">
        <v>25</v>
      </c>
      <c r="F19" s="12">
        <v>24</v>
      </c>
      <c r="G19" s="26">
        <v>127729</v>
      </c>
      <c r="H19" s="160">
        <f>G19*F19</f>
        <v>3065496</v>
      </c>
      <c r="I19" s="14">
        <f t="shared" ref="I19:I110" si="5">H19</f>
        <v>3065496</v>
      </c>
      <c r="J19" s="21"/>
      <c r="K19" s="21"/>
      <c r="L19" s="136">
        <f>SUM(L6:L18)</f>
        <v>32782539.250000004</v>
      </c>
      <c r="M19" s="136">
        <f>SUM(M6:M18)</f>
        <v>15657004.99</v>
      </c>
      <c r="O19" s="228"/>
      <c r="P19" s="228"/>
    </row>
    <row r="20" spans="1:16" s="8" customFormat="1" ht="42.75" x14ac:dyDescent="0.2">
      <c r="A20" s="370"/>
      <c r="B20" s="376"/>
      <c r="C20" s="376"/>
      <c r="D20" s="9" t="s">
        <v>111</v>
      </c>
      <c r="E20" s="190" t="s">
        <v>25</v>
      </c>
      <c r="F20" s="6">
        <v>24</v>
      </c>
      <c r="G20" s="7">
        <v>48209</v>
      </c>
      <c r="H20" s="195">
        <f t="shared" ref="H20:H50" si="6">G20*F20</f>
        <v>1157016</v>
      </c>
      <c r="I20" s="15">
        <f t="shared" si="5"/>
        <v>1157016</v>
      </c>
      <c r="J20" s="21"/>
      <c r="K20" s="21"/>
      <c r="O20" s="228"/>
      <c r="P20" s="228"/>
    </row>
    <row r="21" spans="1:16" s="8" customFormat="1" x14ac:dyDescent="0.2">
      <c r="A21" s="370"/>
      <c r="B21" s="376"/>
      <c r="C21" s="376"/>
      <c r="D21" s="9" t="s">
        <v>147</v>
      </c>
      <c r="E21" s="190" t="s">
        <v>25</v>
      </c>
      <c r="F21" s="6">
        <v>24</v>
      </c>
      <c r="G21" s="140">
        <v>35429</v>
      </c>
      <c r="H21" s="195">
        <f t="shared" si="6"/>
        <v>850296</v>
      </c>
      <c r="I21" s="15">
        <f t="shared" si="5"/>
        <v>850296</v>
      </c>
      <c r="J21" s="21"/>
      <c r="K21" s="21"/>
      <c r="O21" s="228"/>
      <c r="P21" s="228"/>
    </row>
    <row r="22" spans="1:16" s="8" customFormat="1" ht="28.5" x14ac:dyDescent="0.2">
      <c r="A22" s="370"/>
      <c r="B22" s="376"/>
      <c r="C22" s="376"/>
      <c r="D22" s="9" t="s">
        <v>112</v>
      </c>
      <c r="E22" s="190" t="s">
        <v>25</v>
      </c>
      <c r="F22" s="6">
        <v>24</v>
      </c>
      <c r="G22" s="140">
        <v>46079</v>
      </c>
      <c r="H22" s="195">
        <f t="shared" si="6"/>
        <v>1105896</v>
      </c>
      <c r="I22" s="15">
        <f t="shared" si="5"/>
        <v>1105896</v>
      </c>
      <c r="J22" s="21"/>
      <c r="K22" s="21"/>
      <c r="O22" s="228"/>
      <c r="P22" s="228"/>
    </row>
    <row r="23" spans="1:16" s="8" customFormat="1" ht="28.5" x14ac:dyDescent="0.2">
      <c r="A23" s="370"/>
      <c r="B23" s="376"/>
      <c r="C23" s="376"/>
      <c r="D23" s="9" t="s">
        <v>113</v>
      </c>
      <c r="E23" s="190" t="s">
        <v>25</v>
      </c>
      <c r="F23" s="6">
        <v>24</v>
      </c>
      <c r="G23" s="140">
        <v>127729</v>
      </c>
      <c r="H23" s="195">
        <f t="shared" si="6"/>
        <v>3065496</v>
      </c>
      <c r="I23" s="15">
        <f t="shared" si="5"/>
        <v>3065496</v>
      </c>
      <c r="J23" s="21"/>
      <c r="K23" s="21"/>
      <c r="O23" s="228"/>
      <c r="P23" s="228"/>
    </row>
    <row r="24" spans="1:16" s="8" customFormat="1" ht="28.5" x14ac:dyDescent="0.2">
      <c r="A24" s="370"/>
      <c r="B24" s="376"/>
      <c r="C24" s="376"/>
      <c r="D24" s="9" t="s">
        <v>114</v>
      </c>
      <c r="E24" s="190" t="s">
        <v>25</v>
      </c>
      <c r="F24" s="6">
        <v>24</v>
      </c>
      <c r="G24" s="140">
        <v>7739</v>
      </c>
      <c r="H24" s="195">
        <f t="shared" si="6"/>
        <v>185736</v>
      </c>
      <c r="I24" s="15">
        <f t="shared" si="5"/>
        <v>185736</v>
      </c>
      <c r="J24" s="21"/>
      <c r="K24" s="21"/>
      <c r="O24" s="228"/>
      <c r="P24" s="228"/>
    </row>
    <row r="25" spans="1:16" s="8" customFormat="1" ht="28.5" x14ac:dyDescent="0.2">
      <c r="A25" s="370"/>
      <c r="B25" s="376"/>
      <c r="C25" s="376" t="s">
        <v>1</v>
      </c>
      <c r="D25" s="9" t="s">
        <v>138</v>
      </c>
      <c r="E25" s="190" t="s">
        <v>25</v>
      </c>
      <c r="F25" s="6">
        <v>6</v>
      </c>
      <c r="G25" s="140">
        <v>241329</v>
      </c>
      <c r="H25" s="195">
        <f t="shared" si="6"/>
        <v>1447974</v>
      </c>
      <c r="I25" s="15">
        <f t="shared" si="5"/>
        <v>1447974</v>
      </c>
      <c r="J25" s="21"/>
      <c r="K25" s="21"/>
      <c r="O25" s="228"/>
      <c r="P25" s="228"/>
    </row>
    <row r="26" spans="1:16" s="8" customFormat="1" ht="42.75" x14ac:dyDescent="0.2">
      <c r="A26" s="370"/>
      <c r="B26" s="376"/>
      <c r="C26" s="376"/>
      <c r="D26" s="9" t="s">
        <v>259</v>
      </c>
      <c r="E26" s="190" t="s">
        <v>25</v>
      </c>
      <c r="F26" s="6">
        <v>6</v>
      </c>
      <c r="G26" s="140">
        <v>0</v>
      </c>
      <c r="H26" s="195">
        <f t="shared" si="6"/>
        <v>0</v>
      </c>
      <c r="I26" s="15">
        <f t="shared" si="5"/>
        <v>0</v>
      </c>
      <c r="J26" s="21"/>
      <c r="K26" s="21"/>
      <c r="O26" s="228"/>
      <c r="P26" s="228"/>
    </row>
    <row r="27" spans="1:16" s="8" customFormat="1" ht="28.5" x14ac:dyDescent="0.2">
      <c r="A27" s="370"/>
      <c r="B27" s="376"/>
      <c r="C27" s="376"/>
      <c r="D27" s="9" t="s">
        <v>115</v>
      </c>
      <c r="E27" s="190" t="s">
        <v>25</v>
      </c>
      <c r="F27" s="6">
        <v>12</v>
      </c>
      <c r="G27" s="140">
        <v>25489</v>
      </c>
      <c r="H27" s="195">
        <f t="shared" si="6"/>
        <v>305868</v>
      </c>
      <c r="I27" s="15">
        <f t="shared" si="5"/>
        <v>305868</v>
      </c>
      <c r="J27" s="21"/>
      <c r="K27" s="21"/>
      <c r="O27" s="228"/>
      <c r="P27" s="228"/>
    </row>
    <row r="28" spans="1:16" s="8" customFormat="1" x14ac:dyDescent="0.2">
      <c r="A28" s="370"/>
      <c r="B28" s="376"/>
      <c r="C28" s="376"/>
      <c r="D28" s="9" t="s">
        <v>116</v>
      </c>
      <c r="E28" s="190" t="s">
        <v>25</v>
      </c>
      <c r="F28" s="6">
        <v>6</v>
      </c>
      <c r="G28" s="140">
        <v>9869</v>
      </c>
      <c r="H28" s="195">
        <f t="shared" si="6"/>
        <v>59214</v>
      </c>
      <c r="I28" s="15">
        <f t="shared" si="5"/>
        <v>59214</v>
      </c>
      <c r="J28" s="21"/>
      <c r="K28" s="21"/>
      <c r="O28" s="228"/>
      <c r="P28" s="228"/>
    </row>
    <row r="29" spans="1:16" s="8" customFormat="1" x14ac:dyDescent="0.2">
      <c r="A29" s="370"/>
      <c r="B29" s="376"/>
      <c r="C29" s="376"/>
      <c r="D29" s="9" t="s">
        <v>117</v>
      </c>
      <c r="E29" s="190" t="s">
        <v>25</v>
      </c>
      <c r="F29" s="6">
        <v>6</v>
      </c>
      <c r="G29" s="7">
        <v>173005.05</v>
      </c>
      <c r="H29" s="195">
        <f t="shared" si="6"/>
        <v>1038030.2999999999</v>
      </c>
      <c r="I29" s="15">
        <f t="shared" si="5"/>
        <v>1038030.2999999999</v>
      </c>
      <c r="J29" s="21"/>
      <c r="K29" s="21"/>
      <c r="L29" s="21"/>
      <c r="O29" s="228"/>
      <c r="P29" s="228"/>
    </row>
    <row r="30" spans="1:16" s="8" customFormat="1" ht="29.25" thickBot="1" x14ac:dyDescent="0.25">
      <c r="A30" s="371"/>
      <c r="B30" s="377"/>
      <c r="C30" s="31" t="s">
        <v>297</v>
      </c>
      <c r="D30" s="31" t="s">
        <v>299</v>
      </c>
      <c r="E30" s="194" t="s">
        <v>25</v>
      </c>
      <c r="F30" s="16">
        <v>6</v>
      </c>
      <c r="G30" s="17">
        <v>642979.80000000005</v>
      </c>
      <c r="H30" s="196">
        <f t="shared" si="6"/>
        <v>3857878.8000000003</v>
      </c>
      <c r="I30" s="147">
        <f t="shared" ref="I30" si="7">H30</f>
        <v>3857878.8000000003</v>
      </c>
      <c r="J30" s="21"/>
      <c r="K30" s="158"/>
      <c r="L30" s="158"/>
      <c r="O30" s="228"/>
      <c r="P30" s="228"/>
    </row>
    <row r="31" spans="1:16" s="8" customFormat="1" ht="28.5" customHeight="1" x14ac:dyDescent="0.2">
      <c r="A31" s="369" t="s">
        <v>32</v>
      </c>
      <c r="B31" s="375" t="s">
        <v>7</v>
      </c>
      <c r="C31" s="375" t="s">
        <v>0</v>
      </c>
      <c r="D31" s="11" t="s">
        <v>110</v>
      </c>
      <c r="E31" s="189" t="s">
        <v>25</v>
      </c>
      <c r="F31" s="12">
        <v>24</v>
      </c>
      <c r="G31" s="26">
        <v>127729</v>
      </c>
      <c r="H31" s="160">
        <f t="shared" si="6"/>
        <v>3065496</v>
      </c>
      <c r="I31" s="14">
        <f t="shared" si="5"/>
        <v>3065496</v>
      </c>
      <c r="J31" s="21"/>
      <c r="K31" s="21"/>
      <c r="O31" s="228"/>
      <c r="P31" s="228"/>
    </row>
    <row r="32" spans="1:16" s="8" customFormat="1" ht="42.75" x14ac:dyDescent="0.2">
      <c r="A32" s="370"/>
      <c r="B32" s="376"/>
      <c r="C32" s="376"/>
      <c r="D32" s="9" t="s">
        <v>111</v>
      </c>
      <c r="E32" s="190" t="s">
        <v>25</v>
      </c>
      <c r="F32" s="6">
        <v>24</v>
      </c>
      <c r="G32" s="7">
        <v>48209</v>
      </c>
      <c r="H32" s="195">
        <f t="shared" si="6"/>
        <v>1157016</v>
      </c>
      <c r="I32" s="15">
        <f t="shared" si="5"/>
        <v>1157016</v>
      </c>
      <c r="J32" s="21"/>
      <c r="K32" s="21"/>
      <c r="O32" s="228"/>
      <c r="P32" s="228"/>
    </row>
    <row r="33" spans="1:16" s="8" customFormat="1" ht="15" customHeight="1" x14ac:dyDescent="0.2">
      <c r="A33" s="370"/>
      <c r="B33" s="376"/>
      <c r="C33" s="376"/>
      <c r="D33" s="9" t="s">
        <v>147</v>
      </c>
      <c r="E33" s="190" t="s">
        <v>25</v>
      </c>
      <c r="F33" s="6">
        <v>24</v>
      </c>
      <c r="G33" s="140">
        <v>35429</v>
      </c>
      <c r="H33" s="195">
        <f t="shared" si="6"/>
        <v>850296</v>
      </c>
      <c r="I33" s="15">
        <f t="shared" si="5"/>
        <v>850296</v>
      </c>
      <c r="J33" s="21"/>
      <c r="K33" s="21"/>
      <c r="O33" s="228"/>
      <c r="P33" s="228"/>
    </row>
    <row r="34" spans="1:16" s="8" customFormat="1" ht="28.5" x14ac:dyDescent="0.2">
      <c r="A34" s="370"/>
      <c r="B34" s="376"/>
      <c r="C34" s="376"/>
      <c r="D34" s="9" t="s">
        <v>112</v>
      </c>
      <c r="E34" s="190" t="s">
        <v>25</v>
      </c>
      <c r="F34" s="6">
        <v>24</v>
      </c>
      <c r="G34" s="140">
        <v>46079</v>
      </c>
      <c r="H34" s="195">
        <f t="shared" si="6"/>
        <v>1105896</v>
      </c>
      <c r="I34" s="15">
        <f t="shared" si="5"/>
        <v>1105896</v>
      </c>
      <c r="J34" s="21"/>
      <c r="K34" s="21"/>
      <c r="O34" s="228"/>
      <c r="P34" s="228"/>
    </row>
    <row r="35" spans="1:16" s="8" customFormat="1" ht="28.5" x14ac:dyDescent="0.2">
      <c r="A35" s="370"/>
      <c r="B35" s="376"/>
      <c r="C35" s="376"/>
      <c r="D35" s="9" t="s">
        <v>113</v>
      </c>
      <c r="E35" s="190" t="s">
        <v>25</v>
      </c>
      <c r="F35" s="6">
        <v>24</v>
      </c>
      <c r="G35" s="140">
        <v>127729</v>
      </c>
      <c r="H35" s="195">
        <f t="shared" si="6"/>
        <v>3065496</v>
      </c>
      <c r="I35" s="15">
        <f t="shared" si="5"/>
        <v>3065496</v>
      </c>
      <c r="J35" s="21"/>
      <c r="K35" s="21"/>
      <c r="O35" s="228"/>
      <c r="P35" s="228"/>
    </row>
    <row r="36" spans="1:16" s="8" customFormat="1" ht="28.5" x14ac:dyDescent="0.2">
      <c r="A36" s="370"/>
      <c r="B36" s="376"/>
      <c r="C36" s="376"/>
      <c r="D36" s="9" t="s">
        <v>114</v>
      </c>
      <c r="E36" s="190" t="s">
        <v>25</v>
      </c>
      <c r="F36" s="6">
        <v>24</v>
      </c>
      <c r="G36" s="140">
        <v>7739</v>
      </c>
      <c r="H36" s="195">
        <f t="shared" si="6"/>
        <v>185736</v>
      </c>
      <c r="I36" s="15">
        <f t="shared" si="5"/>
        <v>185736</v>
      </c>
      <c r="J36" s="21"/>
      <c r="K36" s="21"/>
      <c r="O36" s="228"/>
      <c r="P36" s="228"/>
    </row>
    <row r="37" spans="1:16" s="8" customFormat="1" ht="28.5" x14ac:dyDescent="0.2">
      <c r="A37" s="370"/>
      <c r="B37" s="376"/>
      <c r="C37" s="376" t="s">
        <v>1</v>
      </c>
      <c r="D37" s="9" t="s">
        <v>138</v>
      </c>
      <c r="E37" s="190" t="s">
        <v>25</v>
      </c>
      <c r="F37" s="6">
        <v>6</v>
      </c>
      <c r="G37" s="140">
        <v>241329</v>
      </c>
      <c r="H37" s="195">
        <f t="shared" si="6"/>
        <v>1447974</v>
      </c>
      <c r="I37" s="15">
        <f t="shared" si="5"/>
        <v>1447974</v>
      </c>
      <c r="J37" s="21"/>
      <c r="K37" s="21"/>
      <c r="O37" s="228"/>
      <c r="P37" s="228"/>
    </row>
    <row r="38" spans="1:16" s="8" customFormat="1" ht="42.75" x14ac:dyDescent="0.2">
      <c r="A38" s="370"/>
      <c r="B38" s="376"/>
      <c r="C38" s="376"/>
      <c r="D38" s="9" t="s">
        <v>260</v>
      </c>
      <c r="E38" s="190" t="s">
        <v>25</v>
      </c>
      <c r="F38" s="6">
        <v>6</v>
      </c>
      <c r="G38" s="140">
        <v>0</v>
      </c>
      <c r="H38" s="195">
        <f t="shared" si="6"/>
        <v>0</v>
      </c>
      <c r="I38" s="15">
        <f t="shared" si="5"/>
        <v>0</v>
      </c>
      <c r="J38" s="21"/>
      <c r="K38" s="21"/>
      <c r="O38" s="228"/>
      <c r="P38" s="228"/>
    </row>
    <row r="39" spans="1:16" s="8" customFormat="1" ht="28.5" x14ac:dyDescent="0.2">
      <c r="A39" s="370"/>
      <c r="B39" s="376"/>
      <c r="C39" s="376"/>
      <c r="D39" s="9" t="s">
        <v>115</v>
      </c>
      <c r="E39" s="190" t="s">
        <v>25</v>
      </c>
      <c r="F39" s="6">
        <v>12</v>
      </c>
      <c r="G39" s="140">
        <v>25489</v>
      </c>
      <c r="H39" s="195">
        <f t="shared" si="6"/>
        <v>305868</v>
      </c>
      <c r="I39" s="15">
        <f t="shared" si="5"/>
        <v>305868</v>
      </c>
      <c r="J39" s="21"/>
      <c r="K39" s="21"/>
      <c r="O39" s="228"/>
      <c r="P39" s="228"/>
    </row>
    <row r="40" spans="1:16" s="8" customFormat="1" ht="15" customHeight="1" x14ac:dyDescent="0.2">
      <c r="A40" s="370"/>
      <c r="B40" s="376"/>
      <c r="C40" s="376"/>
      <c r="D40" s="9" t="s">
        <v>116</v>
      </c>
      <c r="E40" s="190" t="s">
        <v>25</v>
      </c>
      <c r="F40" s="6">
        <v>6</v>
      </c>
      <c r="G40" s="140">
        <v>9869</v>
      </c>
      <c r="H40" s="195">
        <f t="shared" si="6"/>
        <v>59214</v>
      </c>
      <c r="I40" s="15">
        <f t="shared" si="5"/>
        <v>59214</v>
      </c>
      <c r="J40" s="21"/>
      <c r="K40" s="21"/>
      <c r="O40" s="228"/>
      <c r="P40" s="228"/>
    </row>
    <row r="41" spans="1:16" s="8" customFormat="1" ht="15.75" customHeight="1" x14ac:dyDescent="0.2">
      <c r="A41" s="370"/>
      <c r="B41" s="376"/>
      <c r="C41" s="376"/>
      <c r="D41" s="9" t="s">
        <v>117</v>
      </c>
      <c r="E41" s="190" t="s">
        <v>25</v>
      </c>
      <c r="F41" s="6">
        <v>6</v>
      </c>
      <c r="G41" s="7">
        <v>173005.05</v>
      </c>
      <c r="H41" s="195">
        <f t="shared" si="6"/>
        <v>1038030.2999999999</v>
      </c>
      <c r="I41" s="15">
        <f t="shared" si="5"/>
        <v>1038030.2999999999</v>
      </c>
      <c r="J41" s="21"/>
      <c r="K41" s="21"/>
      <c r="L41" s="21"/>
      <c r="O41" s="228"/>
      <c r="P41" s="228"/>
    </row>
    <row r="42" spans="1:16" s="8" customFormat="1" ht="15.75" customHeight="1" thickBot="1" x14ac:dyDescent="0.25">
      <c r="A42" s="371"/>
      <c r="B42" s="377"/>
      <c r="C42" s="31" t="s">
        <v>297</v>
      </c>
      <c r="D42" s="31" t="s">
        <v>299</v>
      </c>
      <c r="E42" s="194" t="s">
        <v>25</v>
      </c>
      <c r="F42" s="16">
        <v>6</v>
      </c>
      <c r="G42" s="17">
        <v>642979.80000000005</v>
      </c>
      <c r="H42" s="196">
        <f t="shared" si="6"/>
        <v>3857878.8000000003</v>
      </c>
      <c r="I42" s="147">
        <f t="shared" si="5"/>
        <v>3857878.8000000003</v>
      </c>
      <c r="J42" s="21"/>
      <c r="K42" s="158"/>
      <c r="L42" s="158"/>
      <c r="O42" s="228"/>
      <c r="P42" s="228"/>
    </row>
    <row r="43" spans="1:16" s="8" customFormat="1" ht="14.25" customHeight="1" x14ac:dyDescent="0.2">
      <c r="A43" s="378" t="s">
        <v>33</v>
      </c>
      <c r="B43" s="383" t="s">
        <v>40</v>
      </c>
      <c r="C43" s="383" t="s">
        <v>9</v>
      </c>
      <c r="D43" s="11" t="s">
        <v>118</v>
      </c>
      <c r="E43" s="189" t="s">
        <v>25</v>
      </c>
      <c r="F43" s="12">
        <v>3</v>
      </c>
      <c r="G43" s="13">
        <v>176095.96</v>
      </c>
      <c r="H43" s="160">
        <f t="shared" si="6"/>
        <v>528287.88</v>
      </c>
      <c r="I43" s="14">
        <f t="shared" si="5"/>
        <v>528287.88</v>
      </c>
      <c r="J43" s="21"/>
      <c r="K43" s="21"/>
      <c r="O43" s="228"/>
      <c r="P43" s="228"/>
    </row>
    <row r="44" spans="1:16" s="8" customFormat="1" ht="28.5" x14ac:dyDescent="0.2">
      <c r="A44" s="379"/>
      <c r="B44" s="384"/>
      <c r="C44" s="384"/>
      <c r="D44" s="9" t="s">
        <v>119</v>
      </c>
      <c r="E44" s="190" t="s">
        <v>25</v>
      </c>
      <c r="F44" s="6">
        <v>3</v>
      </c>
      <c r="G44" s="7">
        <v>85171.72</v>
      </c>
      <c r="H44" s="195">
        <f t="shared" si="6"/>
        <v>255515.16</v>
      </c>
      <c r="I44" s="15">
        <f t="shared" si="5"/>
        <v>255515.16</v>
      </c>
      <c r="J44" s="21"/>
      <c r="K44" s="21"/>
      <c r="O44" s="228"/>
      <c r="P44" s="228"/>
    </row>
    <row r="45" spans="1:16" s="8" customFormat="1" ht="28.5" x14ac:dyDescent="0.2">
      <c r="A45" s="379"/>
      <c r="B45" s="384"/>
      <c r="C45" s="384"/>
      <c r="D45" s="9" t="s">
        <v>120</v>
      </c>
      <c r="E45" s="190" t="s">
        <v>25</v>
      </c>
      <c r="F45" s="6">
        <v>12</v>
      </c>
      <c r="G45" s="7">
        <v>64994.95</v>
      </c>
      <c r="H45" s="195">
        <f t="shared" si="6"/>
        <v>779939.39999999991</v>
      </c>
      <c r="I45" s="15">
        <f t="shared" si="5"/>
        <v>779939.39999999991</v>
      </c>
      <c r="J45" s="21"/>
      <c r="K45" s="21"/>
      <c r="O45" s="228"/>
      <c r="P45" s="228"/>
    </row>
    <row r="46" spans="1:16" s="8" customFormat="1" ht="28.5" x14ac:dyDescent="0.2">
      <c r="A46" s="379"/>
      <c r="B46" s="384"/>
      <c r="C46" s="384"/>
      <c r="D46" s="9" t="s">
        <v>121</v>
      </c>
      <c r="E46" s="190" t="s">
        <v>25</v>
      </c>
      <c r="F46" s="6">
        <v>3</v>
      </c>
      <c r="G46" s="140">
        <v>10579</v>
      </c>
      <c r="H46" s="195">
        <f t="shared" si="6"/>
        <v>31737</v>
      </c>
      <c r="I46" s="15">
        <f t="shared" si="5"/>
        <v>31737</v>
      </c>
      <c r="J46" s="21"/>
      <c r="K46" s="21"/>
      <c r="O46" s="228"/>
      <c r="P46" s="228"/>
    </row>
    <row r="47" spans="1:16" s="8" customFormat="1" ht="28.5" x14ac:dyDescent="0.2">
      <c r="A47" s="379"/>
      <c r="B47" s="384"/>
      <c r="C47" s="384"/>
      <c r="D47" s="9" t="s">
        <v>122</v>
      </c>
      <c r="E47" s="190" t="s">
        <v>25</v>
      </c>
      <c r="F47" s="6">
        <v>6</v>
      </c>
      <c r="G47" s="7">
        <v>78217.17</v>
      </c>
      <c r="H47" s="195">
        <f t="shared" si="6"/>
        <v>469303.02</v>
      </c>
      <c r="I47" s="15">
        <f t="shared" si="5"/>
        <v>469303.02</v>
      </c>
      <c r="J47" s="21"/>
      <c r="K47" s="21"/>
      <c r="O47" s="228"/>
      <c r="P47" s="228"/>
    </row>
    <row r="48" spans="1:16" s="8" customFormat="1" ht="28.5" x14ac:dyDescent="0.2">
      <c r="A48" s="379"/>
      <c r="B48" s="384"/>
      <c r="C48" s="384"/>
      <c r="D48" s="9" t="s">
        <v>123</v>
      </c>
      <c r="E48" s="190" t="s">
        <v>25</v>
      </c>
      <c r="F48" s="6">
        <v>18</v>
      </c>
      <c r="G48" s="140">
        <v>129859</v>
      </c>
      <c r="H48" s="195">
        <f t="shared" si="6"/>
        <v>2337462</v>
      </c>
      <c r="I48" s="15">
        <f t="shared" si="5"/>
        <v>2337462</v>
      </c>
      <c r="J48" s="21"/>
      <c r="K48" s="21"/>
      <c r="O48" s="228"/>
      <c r="P48" s="228"/>
    </row>
    <row r="49" spans="1:16" s="8" customFormat="1" ht="28.5" x14ac:dyDescent="0.2">
      <c r="A49" s="379"/>
      <c r="B49" s="384"/>
      <c r="C49" s="384"/>
      <c r="D49" s="9" t="s">
        <v>124</v>
      </c>
      <c r="E49" s="190" t="s">
        <v>25</v>
      </c>
      <c r="F49" s="6">
        <v>6</v>
      </c>
      <c r="G49" s="7">
        <v>140550.51</v>
      </c>
      <c r="H49" s="195">
        <f t="shared" si="6"/>
        <v>843303.06</v>
      </c>
      <c r="I49" s="15">
        <f t="shared" si="5"/>
        <v>843303.06</v>
      </c>
      <c r="J49" s="21"/>
      <c r="K49" s="21"/>
      <c r="O49" s="228"/>
      <c r="P49" s="228"/>
    </row>
    <row r="50" spans="1:16" s="8" customFormat="1" ht="28.5" x14ac:dyDescent="0.2">
      <c r="A50" s="379"/>
      <c r="B50" s="384"/>
      <c r="C50" s="384"/>
      <c r="D50" s="9" t="s">
        <v>125</v>
      </c>
      <c r="E50" s="190" t="s">
        <v>25</v>
      </c>
      <c r="F50" s="6">
        <v>3</v>
      </c>
      <c r="G50" s="140">
        <v>55309</v>
      </c>
      <c r="H50" s="195">
        <f t="shared" si="6"/>
        <v>165927</v>
      </c>
      <c r="I50" s="15">
        <f t="shared" si="5"/>
        <v>165927</v>
      </c>
      <c r="J50" s="21"/>
      <c r="K50" s="21"/>
      <c r="O50" s="228"/>
      <c r="P50" s="228"/>
    </row>
    <row r="51" spans="1:16" s="8" customFormat="1" ht="28.5" x14ac:dyDescent="0.2">
      <c r="A51" s="379"/>
      <c r="B51" s="384"/>
      <c r="C51" s="384"/>
      <c r="D51" s="9" t="s">
        <v>126</v>
      </c>
      <c r="E51" s="190" t="s">
        <v>25</v>
      </c>
      <c r="F51" s="6">
        <v>3</v>
      </c>
      <c r="G51" s="140">
        <v>7029</v>
      </c>
      <c r="H51" s="195">
        <f t="shared" ref="H51:H82" si="8">G51*F51</f>
        <v>21087</v>
      </c>
      <c r="I51" s="15">
        <f t="shared" si="5"/>
        <v>21087</v>
      </c>
      <c r="J51" s="21"/>
      <c r="K51" s="21"/>
      <c r="O51" s="228"/>
      <c r="P51" s="228"/>
    </row>
    <row r="52" spans="1:16" s="8" customFormat="1" ht="42.75" x14ac:dyDescent="0.2">
      <c r="A52" s="379"/>
      <c r="B52" s="384"/>
      <c r="C52" s="384"/>
      <c r="D52" s="9" t="s">
        <v>127</v>
      </c>
      <c r="E52" s="190" t="s">
        <v>25</v>
      </c>
      <c r="F52" s="6">
        <v>3</v>
      </c>
      <c r="G52" s="140">
        <v>70929</v>
      </c>
      <c r="H52" s="195">
        <f t="shared" si="8"/>
        <v>212787</v>
      </c>
      <c r="I52" s="15">
        <f t="shared" si="5"/>
        <v>212787</v>
      </c>
      <c r="J52" s="21"/>
      <c r="K52" s="21"/>
      <c r="O52" s="228"/>
      <c r="P52" s="228"/>
    </row>
    <row r="53" spans="1:16" s="8" customFormat="1" ht="15" customHeight="1" x14ac:dyDescent="0.2">
      <c r="A53" s="379"/>
      <c r="B53" s="384"/>
      <c r="C53" s="384"/>
      <c r="D53" s="9" t="s">
        <v>128</v>
      </c>
      <c r="E53" s="190" t="s">
        <v>25</v>
      </c>
      <c r="F53" s="6">
        <v>3</v>
      </c>
      <c r="G53" s="140">
        <v>23359</v>
      </c>
      <c r="H53" s="195">
        <f t="shared" si="8"/>
        <v>70077</v>
      </c>
      <c r="I53" s="15">
        <f t="shared" si="5"/>
        <v>70077</v>
      </c>
      <c r="J53" s="21"/>
      <c r="K53" s="21"/>
      <c r="O53" s="228"/>
      <c r="P53" s="228"/>
    </row>
    <row r="54" spans="1:16" s="8" customFormat="1" ht="28.5" x14ac:dyDescent="0.2">
      <c r="A54" s="379"/>
      <c r="B54" s="384"/>
      <c r="C54" s="384"/>
      <c r="D54" s="9" t="s">
        <v>129</v>
      </c>
      <c r="E54" s="190" t="s">
        <v>25</v>
      </c>
      <c r="F54" s="6">
        <v>6</v>
      </c>
      <c r="G54" s="7">
        <v>60279</v>
      </c>
      <c r="H54" s="195">
        <f t="shared" si="8"/>
        <v>361674</v>
      </c>
      <c r="I54" s="15">
        <f t="shared" si="5"/>
        <v>361674</v>
      </c>
      <c r="J54" s="21"/>
      <c r="K54" s="21"/>
      <c r="O54" s="228"/>
      <c r="P54" s="228"/>
    </row>
    <row r="55" spans="1:16" s="8" customFormat="1" ht="28.5" x14ac:dyDescent="0.2">
      <c r="A55" s="379"/>
      <c r="B55" s="384"/>
      <c r="C55" s="384"/>
      <c r="D55" s="9" t="s">
        <v>130</v>
      </c>
      <c r="E55" s="190" t="s">
        <v>25</v>
      </c>
      <c r="F55" s="6">
        <v>6</v>
      </c>
      <c r="G55" s="140">
        <v>26909</v>
      </c>
      <c r="H55" s="195">
        <f t="shared" si="8"/>
        <v>161454</v>
      </c>
      <c r="I55" s="15">
        <f t="shared" si="5"/>
        <v>161454</v>
      </c>
      <c r="J55" s="21"/>
      <c r="K55" s="21"/>
      <c r="O55" s="228"/>
      <c r="P55" s="228"/>
    </row>
    <row r="56" spans="1:16" s="8" customFormat="1" ht="15" customHeight="1" x14ac:dyDescent="0.2">
      <c r="A56" s="379"/>
      <c r="B56" s="384"/>
      <c r="C56" s="384"/>
      <c r="D56" s="9" t="s">
        <v>131</v>
      </c>
      <c r="E56" s="190" t="s">
        <v>25</v>
      </c>
      <c r="F56" s="6">
        <v>3</v>
      </c>
      <c r="G56" s="140">
        <v>7100</v>
      </c>
      <c r="H56" s="195">
        <f t="shared" si="8"/>
        <v>21300</v>
      </c>
      <c r="I56" s="15">
        <f t="shared" si="5"/>
        <v>21300</v>
      </c>
      <c r="J56" s="21"/>
      <c r="K56" s="21"/>
      <c r="O56" s="228"/>
      <c r="P56" s="228"/>
    </row>
    <row r="57" spans="1:16" s="8" customFormat="1" ht="15" customHeight="1" x14ac:dyDescent="0.2">
      <c r="A57" s="379"/>
      <c r="B57" s="384"/>
      <c r="C57" s="384"/>
      <c r="D57" s="9" t="s">
        <v>132</v>
      </c>
      <c r="E57" s="190" t="s">
        <v>25</v>
      </c>
      <c r="F57" s="6">
        <v>3</v>
      </c>
      <c r="G57" s="7">
        <v>596287.88</v>
      </c>
      <c r="H57" s="195">
        <f t="shared" si="8"/>
        <v>1788863.6400000001</v>
      </c>
      <c r="I57" s="15">
        <f t="shared" si="5"/>
        <v>1788863.6400000001</v>
      </c>
      <c r="J57" s="21"/>
      <c r="K57" s="21"/>
      <c r="O57" s="228"/>
      <c r="P57" s="228"/>
    </row>
    <row r="58" spans="1:16" s="8" customFormat="1" ht="15" customHeight="1" x14ac:dyDescent="0.2">
      <c r="A58" s="379"/>
      <c r="B58" s="384"/>
      <c r="C58" s="384"/>
      <c r="D58" s="9" t="s">
        <v>133</v>
      </c>
      <c r="E58" s="190" t="s">
        <v>25</v>
      </c>
      <c r="F58" s="6">
        <v>3</v>
      </c>
      <c r="G58" s="7">
        <v>142525.25</v>
      </c>
      <c r="H58" s="195">
        <f t="shared" si="8"/>
        <v>427575.75</v>
      </c>
      <c r="I58" s="15">
        <f t="shared" si="5"/>
        <v>427575.75</v>
      </c>
      <c r="J58" s="21"/>
      <c r="K58" s="21"/>
      <c r="O58" s="228"/>
      <c r="P58" s="228"/>
    </row>
    <row r="59" spans="1:16" s="8" customFormat="1" ht="28.5" x14ac:dyDescent="0.2">
      <c r="A59" s="379"/>
      <c r="B59" s="384"/>
      <c r="C59" s="384"/>
      <c r="D59" s="9" t="s">
        <v>134</v>
      </c>
      <c r="E59" s="190" t="s">
        <v>25</v>
      </c>
      <c r="F59" s="6">
        <v>200</v>
      </c>
      <c r="G59" s="140">
        <v>10650</v>
      </c>
      <c r="H59" s="195">
        <f t="shared" si="8"/>
        <v>2130000</v>
      </c>
      <c r="I59" s="15">
        <f t="shared" si="5"/>
        <v>2130000</v>
      </c>
      <c r="J59" s="21"/>
      <c r="K59" s="21"/>
      <c r="O59" s="228"/>
      <c r="P59" s="228"/>
    </row>
    <row r="60" spans="1:16" s="8" customFormat="1" ht="28.5" x14ac:dyDescent="0.2">
      <c r="A60" s="379"/>
      <c r="B60" s="384"/>
      <c r="C60" s="384"/>
      <c r="D60" s="9" t="s">
        <v>135</v>
      </c>
      <c r="E60" s="190" t="s">
        <v>25</v>
      </c>
      <c r="F60" s="6">
        <v>1</v>
      </c>
      <c r="G60" s="140">
        <v>1420000</v>
      </c>
      <c r="H60" s="195">
        <f t="shared" si="8"/>
        <v>1420000</v>
      </c>
      <c r="I60" s="15">
        <f t="shared" si="5"/>
        <v>1420000</v>
      </c>
      <c r="J60" s="21"/>
      <c r="K60" s="21"/>
      <c r="O60" s="228"/>
      <c r="P60" s="228"/>
    </row>
    <row r="61" spans="1:16" s="8" customFormat="1" ht="28.5" x14ac:dyDescent="0.2">
      <c r="A61" s="379"/>
      <c r="B61" s="384"/>
      <c r="C61" s="384"/>
      <c r="D61" s="9" t="s">
        <v>136</v>
      </c>
      <c r="E61" s="190" t="s">
        <v>25</v>
      </c>
      <c r="F61" s="6">
        <v>1000</v>
      </c>
      <c r="G61" s="140">
        <v>2485</v>
      </c>
      <c r="H61" s="195">
        <f t="shared" si="8"/>
        <v>2485000</v>
      </c>
      <c r="I61" s="15">
        <f t="shared" si="5"/>
        <v>2485000</v>
      </c>
      <c r="J61" s="21"/>
      <c r="K61" s="21"/>
      <c r="O61" s="228"/>
      <c r="P61" s="228"/>
    </row>
    <row r="62" spans="1:16" s="8" customFormat="1" ht="15" customHeight="1" x14ac:dyDescent="0.2">
      <c r="A62" s="379"/>
      <c r="B62" s="384"/>
      <c r="C62" s="384"/>
      <c r="D62" s="9" t="s">
        <v>137</v>
      </c>
      <c r="E62" s="190" t="s">
        <v>25</v>
      </c>
      <c r="F62" s="6">
        <v>2</v>
      </c>
      <c r="G62" s="140">
        <v>1043700</v>
      </c>
      <c r="H62" s="195">
        <f t="shared" si="8"/>
        <v>2087400</v>
      </c>
      <c r="I62" s="15">
        <f t="shared" si="5"/>
        <v>2087400</v>
      </c>
      <c r="J62" s="21"/>
      <c r="K62" s="21"/>
      <c r="O62" s="228"/>
      <c r="P62" s="228"/>
    </row>
    <row r="63" spans="1:16" s="8" customFormat="1" ht="28.5" x14ac:dyDescent="0.2">
      <c r="A63" s="379"/>
      <c r="B63" s="384"/>
      <c r="C63" s="384"/>
      <c r="D63" s="9" t="s">
        <v>138</v>
      </c>
      <c r="E63" s="190" t="s">
        <v>25</v>
      </c>
      <c r="F63" s="6">
        <v>1</v>
      </c>
      <c r="G63" s="140">
        <v>241329</v>
      </c>
      <c r="H63" s="195">
        <f t="shared" si="8"/>
        <v>241329</v>
      </c>
      <c r="I63" s="15">
        <f t="shared" si="5"/>
        <v>241329</v>
      </c>
      <c r="J63" s="21"/>
      <c r="K63" s="21"/>
      <c r="O63" s="228"/>
      <c r="P63" s="228"/>
    </row>
    <row r="64" spans="1:16" s="8" customFormat="1" ht="42.75" x14ac:dyDescent="0.2">
      <c r="A64" s="379"/>
      <c r="B64" s="384"/>
      <c r="C64" s="384"/>
      <c r="D64" s="9" t="s">
        <v>260</v>
      </c>
      <c r="E64" s="190" t="s">
        <v>25</v>
      </c>
      <c r="F64" s="6">
        <v>1</v>
      </c>
      <c r="G64" s="7"/>
      <c r="H64" s="195">
        <f t="shared" si="8"/>
        <v>0</v>
      </c>
      <c r="I64" s="15">
        <f t="shared" si="5"/>
        <v>0</v>
      </c>
      <c r="J64" s="21"/>
      <c r="K64" s="21"/>
      <c r="O64" s="228"/>
      <c r="P64" s="228"/>
    </row>
    <row r="65" spans="1:16" s="8" customFormat="1" ht="28.5" x14ac:dyDescent="0.2">
      <c r="A65" s="379"/>
      <c r="B65" s="384"/>
      <c r="C65" s="384"/>
      <c r="D65" s="9" t="s">
        <v>129</v>
      </c>
      <c r="E65" s="190" t="s">
        <v>25</v>
      </c>
      <c r="F65" s="6">
        <v>2</v>
      </c>
      <c r="G65" s="7">
        <v>60279</v>
      </c>
      <c r="H65" s="195">
        <f t="shared" si="8"/>
        <v>120558</v>
      </c>
      <c r="I65" s="15">
        <f t="shared" si="5"/>
        <v>120558</v>
      </c>
      <c r="J65" s="21"/>
      <c r="K65" s="21"/>
      <c r="O65" s="228"/>
      <c r="P65" s="228"/>
    </row>
    <row r="66" spans="1:16" s="8" customFormat="1" ht="28.5" x14ac:dyDescent="0.2">
      <c r="A66" s="379"/>
      <c r="B66" s="384"/>
      <c r="C66" s="384"/>
      <c r="D66" s="9" t="s">
        <v>115</v>
      </c>
      <c r="E66" s="190" t="s">
        <v>25</v>
      </c>
      <c r="F66" s="6">
        <v>2</v>
      </c>
      <c r="G66" s="140">
        <v>25489</v>
      </c>
      <c r="H66" s="195">
        <f t="shared" si="8"/>
        <v>50978</v>
      </c>
      <c r="I66" s="15">
        <f t="shared" si="5"/>
        <v>50978</v>
      </c>
      <c r="J66" s="21"/>
      <c r="K66" s="21"/>
      <c r="O66" s="228"/>
      <c r="P66" s="228"/>
    </row>
    <row r="67" spans="1:16" s="8" customFormat="1" ht="28.5" x14ac:dyDescent="0.2">
      <c r="A67" s="379"/>
      <c r="B67" s="384"/>
      <c r="C67" s="384"/>
      <c r="D67" s="9" t="s">
        <v>110</v>
      </c>
      <c r="E67" s="190" t="s">
        <v>25</v>
      </c>
      <c r="F67" s="6">
        <v>3</v>
      </c>
      <c r="G67" s="140">
        <v>127729</v>
      </c>
      <c r="H67" s="195">
        <f t="shared" si="8"/>
        <v>383187</v>
      </c>
      <c r="I67" s="15">
        <f t="shared" si="5"/>
        <v>383187</v>
      </c>
      <c r="J67" s="21"/>
      <c r="K67" s="21"/>
      <c r="O67" s="228"/>
      <c r="P67" s="228"/>
    </row>
    <row r="68" spans="1:16" s="8" customFormat="1" ht="42.75" x14ac:dyDescent="0.2">
      <c r="A68" s="379"/>
      <c r="B68" s="384"/>
      <c r="C68" s="384"/>
      <c r="D68" s="9" t="s">
        <v>111</v>
      </c>
      <c r="E68" s="190" t="s">
        <v>25</v>
      </c>
      <c r="F68" s="6">
        <v>6</v>
      </c>
      <c r="G68" s="7">
        <v>48209</v>
      </c>
      <c r="H68" s="195">
        <f t="shared" si="8"/>
        <v>289254</v>
      </c>
      <c r="I68" s="15">
        <f t="shared" si="5"/>
        <v>289254</v>
      </c>
      <c r="J68" s="21"/>
      <c r="K68" s="21"/>
      <c r="O68" s="228"/>
      <c r="P68" s="228"/>
    </row>
    <row r="69" spans="1:16" s="8" customFormat="1" ht="28.5" x14ac:dyDescent="0.2">
      <c r="A69" s="379"/>
      <c r="B69" s="384"/>
      <c r="C69" s="384"/>
      <c r="D69" s="9" t="s">
        <v>139</v>
      </c>
      <c r="E69" s="190" t="s">
        <v>25</v>
      </c>
      <c r="F69" s="6">
        <v>3</v>
      </c>
      <c r="G69" s="7">
        <v>149565.66</v>
      </c>
      <c r="H69" s="195">
        <f t="shared" si="8"/>
        <v>448696.98</v>
      </c>
      <c r="I69" s="15">
        <f t="shared" si="5"/>
        <v>448696.98</v>
      </c>
      <c r="J69" s="21"/>
      <c r="K69" s="21"/>
      <c r="O69" s="228"/>
      <c r="P69" s="228"/>
    </row>
    <row r="70" spans="1:16" s="8" customFormat="1" ht="15" customHeight="1" x14ac:dyDescent="0.2">
      <c r="A70" s="379"/>
      <c r="B70" s="384"/>
      <c r="C70" s="384"/>
      <c r="D70" s="9" t="s">
        <v>116</v>
      </c>
      <c r="E70" s="190" t="s">
        <v>25</v>
      </c>
      <c r="F70" s="6">
        <v>1</v>
      </c>
      <c r="G70" s="140">
        <v>9869</v>
      </c>
      <c r="H70" s="195">
        <f t="shared" si="8"/>
        <v>9869</v>
      </c>
      <c r="I70" s="15">
        <f t="shared" si="5"/>
        <v>9869</v>
      </c>
      <c r="J70" s="21"/>
      <c r="K70" s="21"/>
      <c r="O70" s="228"/>
      <c r="P70" s="228"/>
    </row>
    <row r="71" spans="1:16" s="8" customFormat="1" ht="15.75" customHeight="1" x14ac:dyDescent="0.2">
      <c r="A71" s="379"/>
      <c r="B71" s="384"/>
      <c r="C71" s="384"/>
      <c r="D71" s="9" t="s">
        <v>117</v>
      </c>
      <c r="E71" s="190" t="s">
        <v>25</v>
      </c>
      <c r="F71" s="6">
        <v>1</v>
      </c>
      <c r="G71" s="7">
        <v>173005.05</v>
      </c>
      <c r="H71" s="195">
        <f t="shared" si="8"/>
        <v>173005.05</v>
      </c>
      <c r="I71" s="15">
        <f t="shared" si="5"/>
        <v>173005.05</v>
      </c>
      <c r="J71" s="21"/>
      <c r="K71" s="21"/>
      <c r="O71" s="228"/>
      <c r="P71" s="228"/>
    </row>
    <row r="72" spans="1:16" s="8" customFormat="1" ht="15.75" customHeight="1" thickBot="1" x14ac:dyDescent="0.25">
      <c r="A72" s="380"/>
      <c r="B72" s="385"/>
      <c r="C72" s="31" t="s">
        <v>297</v>
      </c>
      <c r="D72" s="31" t="s">
        <v>299</v>
      </c>
      <c r="E72" s="194" t="s">
        <v>25</v>
      </c>
      <c r="F72" s="16">
        <v>1</v>
      </c>
      <c r="G72" s="17">
        <v>3842979.8</v>
      </c>
      <c r="H72" s="196">
        <f t="shared" si="8"/>
        <v>3842979.8</v>
      </c>
      <c r="I72" s="147">
        <f t="shared" si="5"/>
        <v>3842979.8</v>
      </c>
      <c r="J72" s="21"/>
      <c r="K72" s="21"/>
      <c r="L72" s="21"/>
      <c r="O72" s="228"/>
      <c r="P72" s="228"/>
    </row>
    <row r="73" spans="1:16" s="8" customFormat="1" ht="28.5" customHeight="1" x14ac:dyDescent="0.2">
      <c r="A73" s="378" t="s">
        <v>34</v>
      </c>
      <c r="B73" s="383" t="s">
        <v>2</v>
      </c>
      <c r="C73" s="383" t="s">
        <v>2</v>
      </c>
      <c r="D73" s="11" t="s">
        <v>140</v>
      </c>
      <c r="E73" s="189" t="s">
        <v>25</v>
      </c>
      <c r="F73" s="12">
        <v>1</v>
      </c>
      <c r="G73" s="13">
        <v>55979.8</v>
      </c>
      <c r="H73" s="160">
        <f t="shared" si="8"/>
        <v>55979.8</v>
      </c>
      <c r="I73" s="14">
        <f t="shared" si="5"/>
        <v>55979.8</v>
      </c>
      <c r="J73" s="21"/>
      <c r="K73" s="158"/>
      <c r="L73" s="158"/>
      <c r="O73" s="228"/>
      <c r="P73" s="228"/>
    </row>
    <row r="74" spans="1:16" s="8" customFormat="1" ht="57" x14ac:dyDescent="0.2">
      <c r="A74" s="379"/>
      <c r="B74" s="384"/>
      <c r="C74" s="384"/>
      <c r="D74" s="9" t="s">
        <v>261</v>
      </c>
      <c r="E74" s="190" t="s">
        <v>25</v>
      </c>
      <c r="F74" s="6">
        <v>1</v>
      </c>
      <c r="G74" s="7"/>
      <c r="H74" s="195">
        <f t="shared" si="8"/>
        <v>0</v>
      </c>
      <c r="I74" s="15">
        <f t="shared" si="5"/>
        <v>0</v>
      </c>
      <c r="J74" s="21"/>
      <c r="K74" s="21"/>
      <c r="O74" s="228"/>
      <c r="P74" s="228"/>
    </row>
    <row r="75" spans="1:16" s="8" customFormat="1" ht="28.5" x14ac:dyDescent="0.2">
      <c r="A75" s="379"/>
      <c r="B75" s="384"/>
      <c r="C75" s="384"/>
      <c r="D75" s="9" t="s">
        <v>141</v>
      </c>
      <c r="E75" s="190" t="s">
        <v>25</v>
      </c>
      <c r="F75" s="6">
        <v>1</v>
      </c>
      <c r="G75" s="7">
        <v>47565.66</v>
      </c>
      <c r="H75" s="195">
        <f t="shared" si="8"/>
        <v>47565.66</v>
      </c>
      <c r="I75" s="15">
        <f t="shared" si="5"/>
        <v>47565.66</v>
      </c>
      <c r="J75" s="21"/>
      <c r="K75" s="21"/>
      <c r="O75" s="228"/>
      <c r="P75" s="228"/>
    </row>
    <row r="76" spans="1:16" s="8" customFormat="1" ht="28.5" x14ac:dyDescent="0.2">
      <c r="A76" s="379"/>
      <c r="B76" s="384"/>
      <c r="C76" s="384"/>
      <c r="D76" s="9" t="s">
        <v>142</v>
      </c>
      <c r="E76" s="190" t="s">
        <v>25</v>
      </c>
      <c r="F76" s="6">
        <v>1</v>
      </c>
      <c r="G76" s="7">
        <v>23782.83</v>
      </c>
      <c r="H76" s="195">
        <f t="shared" si="8"/>
        <v>23782.83</v>
      </c>
      <c r="I76" s="15">
        <f t="shared" si="5"/>
        <v>23782.83</v>
      </c>
      <c r="J76" s="21"/>
      <c r="K76" s="21"/>
      <c r="O76" s="228"/>
      <c r="P76" s="228"/>
    </row>
    <row r="77" spans="1:16" s="8" customFormat="1" x14ac:dyDescent="0.2">
      <c r="A77" s="379"/>
      <c r="B77" s="384"/>
      <c r="C77" s="384"/>
      <c r="D77" s="9" t="s">
        <v>143</v>
      </c>
      <c r="E77" s="190" t="s">
        <v>25</v>
      </c>
      <c r="F77" s="6">
        <v>1</v>
      </c>
      <c r="G77" s="7">
        <v>11762.63</v>
      </c>
      <c r="H77" s="195">
        <f t="shared" si="8"/>
        <v>11762.63</v>
      </c>
      <c r="I77" s="15">
        <f t="shared" si="5"/>
        <v>11762.63</v>
      </c>
      <c r="J77" s="21"/>
      <c r="K77" s="21"/>
      <c r="O77" s="228"/>
      <c r="P77" s="228"/>
    </row>
    <row r="78" spans="1:16" s="8" customFormat="1" ht="28.5" x14ac:dyDescent="0.2">
      <c r="A78" s="379"/>
      <c r="B78" s="384"/>
      <c r="C78" s="384"/>
      <c r="D78" s="9" t="s">
        <v>144</v>
      </c>
      <c r="E78" s="190" t="s">
        <v>25</v>
      </c>
      <c r="F78" s="6">
        <v>2</v>
      </c>
      <c r="G78" s="140">
        <v>22365</v>
      </c>
      <c r="H78" s="195">
        <f t="shared" si="8"/>
        <v>44730</v>
      </c>
      <c r="I78" s="15">
        <f t="shared" si="5"/>
        <v>44730</v>
      </c>
      <c r="J78" s="21"/>
      <c r="K78" s="21"/>
      <c r="O78" s="228"/>
      <c r="P78" s="228"/>
    </row>
    <row r="79" spans="1:16" s="8" customFormat="1" ht="28.5" x14ac:dyDescent="0.2">
      <c r="A79" s="379"/>
      <c r="B79" s="384"/>
      <c r="C79" s="384"/>
      <c r="D79" s="9" t="s">
        <v>145</v>
      </c>
      <c r="E79" s="190" t="s">
        <v>25</v>
      </c>
      <c r="F79" s="6">
        <v>4</v>
      </c>
      <c r="G79" s="140">
        <v>55309</v>
      </c>
      <c r="H79" s="195">
        <f t="shared" si="8"/>
        <v>221236</v>
      </c>
      <c r="I79" s="15">
        <f t="shared" si="5"/>
        <v>221236</v>
      </c>
      <c r="J79" s="21"/>
      <c r="K79" s="21"/>
      <c r="O79" s="228"/>
      <c r="P79" s="228"/>
    </row>
    <row r="80" spans="1:16" s="8" customFormat="1" x14ac:dyDescent="0.2">
      <c r="A80" s="379"/>
      <c r="B80" s="384"/>
      <c r="C80" s="384"/>
      <c r="D80" s="9" t="s">
        <v>146</v>
      </c>
      <c r="E80" s="190" t="s">
        <v>25</v>
      </c>
      <c r="F80" s="6">
        <v>1</v>
      </c>
      <c r="G80" s="7">
        <v>3777.78</v>
      </c>
      <c r="H80" s="195">
        <f t="shared" si="8"/>
        <v>3777.78</v>
      </c>
      <c r="I80" s="15">
        <f t="shared" si="5"/>
        <v>3777.78</v>
      </c>
      <c r="J80" s="21"/>
      <c r="K80" s="21"/>
      <c r="O80" s="228"/>
      <c r="P80" s="228"/>
    </row>
    <row r="81" spans="1:16" s="8" customFormat="1" x14ac:dyDescent="0.2">
      <c r="A81" s="379"/>
      <c r="B81" s="384"/>
      <c r="C81" s="384"/>
      <c r="D81" s="9" t="s">
        <v>147</v>
      </c>
      <c r="E81" s="190" t="s">
        <v>25</v>
      </c>
      <c r="F81" s="6">
        <v>1</v>
      </c>
      <c r="G81" s="140">
        <v>35429</v>
      </c>
      <c r="H81" s="195">
        <f t="shared" si="8"/>
        <v>35429</v>
      </c>
      <c r="I81" s="15">
        <f t="shared" si="5"/>
        <v>35429</v>
      </c>
      <c r="J81" s="21"/>
      <c r="K81" s="21"/>
      <c r="O81" s="228"/>
      <c r="P81" s="228"/>
    </row>
    <row r="82" spans="1:16" s="8" customFormat="1" x14ac:dyDescent="0.2">
      <c r="A82" s="379"/>
      <c r="B82" s="384"/>
      <c r="C82" s="384"/>
      <c r="D82" s="9" t="s">
        <v>148</v>
      </c>
      <c r="E82" s="190" t="s">
        <v>25</v>
      </c>
      <c r="F82" s="6">
        <v>1</v>
      </c>
      <c r="G82" s="140">
        <v>8449</v>
      </c>
      <c r="H82" s="195">
        <f t="shared" si="8"/>
        <v>8449</v>
      </c>
      <c r="I82" s="15">
        <f t="shared" si="5"/>
        <v>8449</v>
      </c>
      <c r="J82" s="21"/>
      <c r="K82" s="21"/>
      <c r="O82" s="228"/>
      <c r="P82" s="228"/>
    </row>
    <row r="83" spans="1:16" s="8" customFormat="1" ht="28.5" x14ac:dyDescent="0.2">
      <c r="A83" s="379"/>
      <c r="B83" s="384"/>
      <c r="C83" s="384"/>
      <c r="D83" s="9" t="s">
        <v>149</v>
      </c>
      <c r="E83" s="190" t="s">
        <v>25</v>
      </c>
      <c r="F83" s="6">
        <v>1</v>
      </c>
      <c r="G83" s="140">
        <v>42529</v>
      </c>
      <c r="H83" s="195">
        <f t="shared" ref="H83:H110" si="9">G83*F83</f>
        <v>42529</v>
      </c>
      <c r="I83" s="15">
        <f t="shared" si="5"/>
        <v>42529</v>
      </c>
      <c r="J83" s="21"/>
      <c r="K83" s="21"/>
      <c r="O83" s="228"/>
      <c r="P83" s="228"/>
    </row>
    <row r="84" spans="1:16" s="8" customFormat="1" ht="28.5" x14ac:dyDescent="0.2">
      <c r="A84" s="379"/>
      <c r="B84" s="384"/>
      <c r="C84" s="384"/>
      <c r="D84" s="9" t="s">
        <v>150</v>
      </c>
      <c r="E84" s="190" t="s">
        <v>25</v>
      </c>
      <c r="F84" s="6">
        <v>2</v>
      </c>
      <c r="G84" s="140">
        <v>21939</v>
      </c>
      <c r="H84" s="195">
        <f t="shared" si="9"/>
        <v>43878</v>
      </c>
      <c r="I84" s="15">
        <f t="shared" si="5"/>
        <v>43878</v>
      </c>
      <c r="J84" s="21"/>
      <c r="K84" s="21"/>
      <c r="O84" s="228"/>
      <c r="P84" s="228"/>
    </row>
    <row r="85" spans="1:16" s="8" customFormat="1" ht="28.5" x14ac:dyDescent="0.2">
      <c r="A85" s="379"/>
      <c r="B85" s="384"/>
      <c r="C85" s="384"/>
      <c r="D85" s="9" t="s">
        <v>151</v>
      </c>
      <c r="E85" s="190" t="s">
        <v>25</v>
      </c>
      <c r="F85" s="6">
        <v>1</v>
      </c>
      <c r="G85" s="140">
        <v>31879</v>
      </c>
      <c r="H85" s="195">
        <f t="shared" si="9"/>
        <v>31879</v>
      </c>
      <c r="I85" s="15">
        <f t="shared" si="5"/>
        <v>31879</v>
      </c>
      <c r="J85" s="21"/>
      <c r="K85" s="21"/>
      <c r="O85" s="228"/>
      <c r="P85" s="228"/>
    </row>
    <row r="86" spans="1:16" s="8" customFormat="1" x14ac:dyDescent="0.2">
      <c r="A86" s="379"/>
      <c r="B86" s="384"/>
      <c r="C86" s="384"/>
      <c r="D86" s="9" t="s">
        <v>152</v>
      </c>
      <c r="E86" s="190" t="s">
        <v>25</v>
      </c>
      <c r="F86" s="6">
        <v>1</v>
      </c>
      <c r="G86" s="7">
        <v>18803.03</v>
      </c>
      <c r="H86" s="195">
        <f t="shared" si="9"/>
        <v>18803.03</v>
      </c>
      <c r="I86" s="15">
        <f t="shared" si="5"/>
        <v>18803.03</v>
      </c>
      <c r="J86" s="21"/>
      <c r="K86" s="21"/>
      <c r="O86" s="228"/>
      <c r="P86" s="228"/>
    </row>
    <row r="87" spans="1:16" s="8" customFormat="1" ht="28.5" x14ac:dyDescent="0.2">
      <c r="A87" s="379"/>
      <c r="B87" s="384"/>
      <c r="C87" s="384"/>
      <c r="D87" s="9" t="s">
        <v>153</v>
      </c>
      <c r="E87" s="190" t="s">
        <v>25</v>
      </c>
      <c r="F87" s="6">
        <v>1</v>
      </c>
      <c r="G87" s="7">
        <v>8757.58</v>
      </c>
      <c r="H87" s="195">
        <f t="shared" si="9"/>
        <v>8757.58</v>
      </c>
      <c r="I87" s="15">
        <f t="shared" si="5"/>
        <v>8757.58</v>
      </c>
      <c r="J87" s="21"/>
      <c r="K87" s="21"/>
      <c r="O87" s="228"/>
      <c r="P87" s="228"/>
    </row>
    <row r="88" spans="1:16" s="8" customFormat="1" x14ac:dyDescent="0.2">
      <c r="A88" s="379"/>
      <c r="B88" s="384"/>
      <c r="C88" s="384"/>
      <c r="D88" s="9" t="s">
        <v>154</v>
      </c>
      <c r="E88" s="190" t="s">
        <v>25</v>
      </c>
      <c r="F88" s="6">
        <v>1</v>
      </c>
      <c r="G88" s="140">
        <v>4260</v>
      </c>
      <c r="H88" s="195">
        <f t="shared" si="9"/>
        <v>4260</v>
      </c>
      <c r="I88" s="15">
        <f t="shared" si="5"/>
        <v>4260</v>
      </c>
      <c r="J88" s="21"/>
      <c r="K88" s="21"/>
      <c r="O88" s="228"/>
      <c r="P88" s="228"/>
    </row>
    <row r="89" spans="1:16" s="8" customFormat="1" x14ac:dyDescent="0.2">
      <c r="A89" s="379"/>
      <c r="B89" s="384"/>
      <c r="C89" s="384"/>
      <c r="D89" s="9" t="s">
        <v>155</v>
      </c>
      <c r="E89" s="190" t="s">
        <v>25</v>
      </c>
      <c r="F89" s="6">
        <v>1</v>
      </c>
      <c r="G89" s="7">
        <v>18974.75</v>
      </c>
      <c r="H89" s="195">
        <f t="shared" si="9"/>
        <v>18974.75</v>
      </c>
      <c r="I89" s="15">
        <f t="shared" si="5"/>
        <v>18974.75</v>
      </c>
      <c r="J89" s="21"/>
      <c r="K89" s="21"/>
      <c r="O89" s="228"/>
      <c r="P89" s="228"/>
    </row>
    <row r="90" spans="1:16" s="8" customFormat="1" x14ac:dyDescent="0.2">
      <c r="A90" s="379"/>
      <c r="B90" s="384"/>
      <c r="C90" s="384"/>
      <c r="D90" s="9" t="s">
        <v>156</v>
      </c>
      <c r="E90" s="190" t="s">
        <v>25</v>
      </c>
      <c r="F90" s="6">
        <v>1</v>
      </c>
      <c r="G90" s="7">
        <v>107323.23</v>
      </c>
      <c r="H90" s="195">
        <f t="shared" si="9"/>
        <v>107323.23</v>
      </c>
      <c r="I90" s="15">
        <f t="shared" si="5"/>
        <v>107323.23</v>
      </c>
      <c r="J90" s="21"/>
      <c r="K90" s="21"/>
      <c r="O90" s="228"/>
      <c r="P90" s="228"/>
    </row>
    <row r="91" spans="1:16" s="8" customFormat="1" ht="29.25" thickBot="1" x14ac:dyDescent="0.25">
      <c r="A91" s="380"/>
      <c r="B91" s="385"/>
      <c r="C91" s="31" t="s">
        <v>297</v>
      </c>
      <c r="D91" s="31" t="s">
        <v>300</v>
      </c>
      <c r="E91" s="194" t="s">
        <v>25</v>
      </c>
      <c r="F91" s="16">
        <v>1</v>
      </c>
      <c r="G91" s="17">
        <v>272131.31</v>
      </c>
      <c r="H91" s="196">
        <f t="shared" si="9"/>
        <v>272131.31</v>
      </c>
      <c r="I91" s="147">
        <f t="shared" ref="I91" si="10">H91</f>
        <v>272131.31</v>
      </c>
      <c r="J91" s="21"/>
      <c r="K91" s="21"/>
      <c r="L91" s="21"/>
      <c r="O91" s="228"/>
      <c r="P91" s="228"/>
    </row>
    <row r="92" spans="1:16" s="8" customFormat="1" ht="14.25" customHeight="1" x14ac:dyDescent="0.2">
      <c r="A92" s="378" t="s">
        <v>37</v>
      </c>
      <c r="B92" s="383" t="s">
        <v>10</v>
      </c>
      <c r="C92" s="383" t="s">
        <v>157</v>
      </c>
      <c r="D92" s="11" t="s">
        <v>158</v>
      </c>
      <c r="E92" s="189" t="s">
        <v>25</v>
      </c>
      <c r="F92" s="12">
        <v>2</v>
      </c>
      <c r="G92" s="13">
        <v>3004621.21</v>
      </c>
      <c r="H92" s="160">
        <f t="shared" si="9"/>
        <v>6009242.4199999999</v>
      </c>
      <c r="I92" s="14">
        <f t="shared" si="5"/>
        <v>6009242.4199999999</v>
      </c>
      <c r="J92" s="21"/>
      <c r="K92" s="158"/>
      <c r="L92" s="158"/>
      <c r="O92" s="228"/>
      <c r="P92" s="228"/>
    </row>
    <row r="93" spans="1:16" s="8" customFormat="1" ht="42.75" x14ac:dyDescent="0.2">
      <c r="A93" s="379"/>
      <c r="B93" s="384"/>
      <c r="C93" s="384"/>
      <c r="D93" s="9" t="s">
        <v>262</v>
      </c>
      <c r="E93" s="190" t="s">
        <v>25</v>
      </c>
      <c r="F93" s="6">
        <v>2</v>
      </c>
      <c r="G93" s="7">
        <v>0</v>
      </c>
      <c r="H93" s="195">
        <f t="shared" si="9"/>
        <v>0</v>
      </c>
      <c r="I93" s="15">
        <f t="shared" si="5"/>
        <v>0</v>
      </c>
      <c r="J93" s="21"/>
      <c r="K93" s="21"/>
      <c r="O93" s="228"/>
      <c r="P93" s="228"/>
    </row>
    <row r="94" spans="1:16" s="8" customFormat="1" ht="28.5" x14ac:dyDescent="0.2">
      <c r="A94" s="379"/>
      <c r="B94" s="384"/>
      <c r="C94" s="384"/>
      <c r="D94" s="9" t="s">
        <v>160</v>
      </c>
      <c r="E94" s="190" t="s">
        <v>25</v>
      </c>
      <c r="F94" s="6">
        <v>2</v>
      </c>
      <c r="G94" s="7">
        <v>270454.55</v>
      </c>
      <c r="H94" s="195">
        <f t="shared" si="9"/>
        <v>540909.1</v>
      </c>
      <c r="I94" s="15">
        <f t="shared" si="5"/>
        <v>540909.1</v>
      </c>
      <c r="J94" s="21"/>
      <c r="K94" s="21"/>
      <c r="O94" s="228"/>
      <c r="P94" s="228"/>
    </row>
    <row r="95" spans="1:16" s="8" customFormat="1" ht="15" customHeight="1" x14ac:dyDescent="0.2">
      <c r="A95" s="379"/>
      <c r="B95" s="384"/>
      <c r="C95" s="384"/>
      <c r="D95" s="9" t="s">
        <v>161</v>
      </c>
      <c r="E95" s="190" t="s">
        <v>25</v>
      </c>
      <c r="F95" s="6">
        <v>2</v>
      </c>
      <c r="G95" s="7">
        <v>25328.28</v>
      </c>
      <c r="H95" s="195">
        <f t="shared" si="9"/>
        <v>50656.56</v>
      </c>
      <c r="I95" s="15">
        <f t="shared" si="5"/>
        <v>50656.56</v>
      </c>
      <c r="J95" s="21"/>
      <c r="K95" s="21"/>
      <c r="O95" s="228"/>
      <c r="P95" s="228"/>
    </row>
    <row r="96" spans="1:16" s="8" customFormat="1" ht="15" customHeight="1" x14ac:dyDescent="0.2">
      <c r="A96" s="379"/>
      <c r="B96" s="384"/>
      <c r="C96" s="384"/>
      <c r="D96" s="9" t="s">
        <v>162</v>
      </c>
      <c r="E96" s="190" t="s">
        <v>25</v>
      </c>
      <c r="F96" s="6">
        <v>6</v>
      </c>
      <c r="G96" s="140">
        <v>19525</v>
      </c>
      <c r="H96" s="195">
        <f t="shared" si="9"/>
        <v>117150</v>
      </c>
      <c r="I96" s="15">
        <f t="shared" si="5"/>
        <v>117150</v>
      </c>
      <c r="J96" s="21"/>
      <c r="K96" s="21"/>
      <c r="O96" s="228"/>
      <c r="P96" s="228"/>
    </row>
    <row r="97" spans="1:16" s="8" customFormat="1" ht="15" customHeight="1" x14ac:dyDescent="0.2">
      <c r="A97" s="379"/>
      <c r="B97" s="384"/>
      <c r="C97" s="384"/>
      <c r="D97" s="9" t="s">
        <v>163</v>
      </c>
      <c r="E97" s="190" t="s">
        <v>25</v>
      </c>
      <c r="F97" s="6">
        <v>18</v>
      </c>
      <c r="G97" s="140">
        <v>73840</v>
      </c>
      <c r="H97" s="195">
        <f t="shared" si="9"/>
        <v>1329120</v>
      </c>
      <c r="I97" s="15">
        <f t="shared" si="5"/>
        <v>1329120</v>
      </c>
      <c r="J97" s="21"/>
      <c r="K97" s="21"/>
      <c r="O97" s="228"/>
      <c r="P97" s="228"/>
    </row>
    <row r="98" spans="1:16" s="8" customFormat="1" ht="28.5" x14ac:dyDescent="0.2">
      <c r="A98" s="379"/>
      <c r="B98" s="384"/>
      <c r="C98" s="384"/>
      <c r="D98" s="9" t="s">
        <v>164</v>
      </c>
      <c r="E98" s="190" t="s">
        <v>25</v>
      </c>
      <c r="F98" s="6">
        <v>4</v>
      </c>
      <c r="G98" s="140">
        <v>141645</v>
      </c>
      <c r="H98" s="195">
        <f t="shared" si="9"/>
        <v>566580</v>
      </c>
      <c r="I98" s="15">
        <f t="shared" si="5"/>
        <v>566580</v>
      </c>
      <c r="J98" s="21"/>
      <c r="K98" s="21"/>
      <c r="O98" s="228"/>
      <c r="P98" s="228"/>
    </row>
    <row r="99" spans="1:16" s="8" customFormat="1" ht="15" customHeight="1" x14ac:dyDescent="0.2">
      <c r="A99" s="379"/>
      <c r="B99" s="384"/>
      <c r="C99" s="384"/>
      <c r="D99" s="9" t="s">
        <v>165</v>
      </c>
      <c r="E99" s="190" t="s">
        <v>25</v>
      </c>
      <c r="F99" s="6">
        <v>2</v>
      </c>
      <c r="G99" s="140">
        <v>42529</v>
      </c>
      <c r="H99" s="195">
        <f t="shared" si="9"/>
        <v>85058</v>
      </c>
      <c r="I99" s="15">
        <f t="shared" si="5"/>
        <v>85058</v>
      </c>
      <c r="J99" s="21"/>
      <c r="K99" s="21"/>
      <c r="O99" s="228"/>
      <c r="P99" s="228"/>
    </row>
    <row r="100" spans="1:16" s="8" customFormat="1" ht="15" customHeight="1" x14ac:dyDescent="0.2">
      <c r="A100" s="379"/>
      <c r="B100" s="384"/>
      <c r="C100" s="384"/>
      <c r="D100" s="9" t="s">
        <v>166</v>
      </c>
      <c r="E100" s="190" t="s">
        <v>25</v>
      </c>
      <c r="F100" s="6">
        <v>1</v>
      </c>
      <c r="G100" s="140"/>
      <c r="H100" s="195">
        <f t="shared" si="9"/>
        <v>0</v>
      </c>
      <c r="I100" s="15">
        <f t="shared" si="5"/>
        <v>0</v>
      </c>
      <c r="J100" s="21"/>
      <c r="K100" s="21"/>
      <c r="O100" s="228"/>
      <c r="P100" s="228"/>
    </row>
    <row r="101" spans="1:16" s="8" customFormat="1" ht="28.5" x14ac:dyDescent="0.2">
      <c r="A101" s="379"/>
      <c r="B101" s="384"/>
      <c r="C101" s="39" t="s">
        <v>297</v>
      </c>
      <c r="D101" s="9" t="s">
        <v>159</v>
      </c>
      <c r="E101" s="190" t="s">
        <v>25</v>
      </c>
      <c r="F101" s="6">
        <v>2</v>
      </c>
      <c r="G101" s="7">
        <v>1229454.55</v>
      </c>
      <c r="H101" s="195">
        <f t="shared" si="9"/>
        <v>2458909.1</v>
      </c>
      <c r="I101" s="15">
        <f t="shared" ref="I101" si="11">H101</f>
        <v>2458909.1</v>
      </c>
      <c r="J101" s="21"/>
      <c r="K101" s="21"/>
      <c r="L101" s="21"/>
      <c r="O101" s="228"/>
      <c r="P101" s="228"/>
    </row>
    <row r="102" spans="1:16" s="8" customFormat="1" ht="15" customHeight="1" x14ac:dyDescent="0.2">
      <c r="A102" s="379"/>
      <c r="B102" s="384"/>
      <c r="C102" s="384" t="s">
        <v>167</v>
      </c>
      <c r="D102" s="9" t="s">
        <v>168</v>
      </c>
      <c r="E102" s="190" t="s">
        <v>25</v>
      </c>
      <c r="F102" s="6">
        <v>2</v>
      </c>
      <c r="G102" s="7">
        <v>337889</v>
      </c>
      <c r="H102" s="195">
        <f t="shared" si="9"/>
        <v>675778</v>
      </c>
      <c r="I102" s="15">
        <f t="shared" si="5"/>
        <v>675778</v>
      </c>
      <c r="J102" s="21"/>
      <c r="K102" s="158"/>
      <c r="L102" s="158"/>
      <c r="O102" s="228"/>
      <c r="P102" s="228"/>
    </row>
    <row r="103" spans="1:16" s="8" customFormat="1" ht="42.75" x14ac:dyDescent="0.2">
      <c r="A103" s="379"/>
      <c r="B103" s="384"/>
      <c r="C103" s="384"/>
      <c r="D103" s="9" t="s">
        <v>263</v>
      </c>
      <c r="E103" s="190" t="s">
        <v>25</v>
      </c>
      <c r="F103" s="6">
        <v>2</v>
      </c>
      <c r="G103" s="140"/>
      <c r="H103" s="195">
        <f t="shared" si="9"/>
        <v>0</v>
      </c>
      <c r="I103" s="15">
        <f t="shared" si="5"/>
        <v>0</v>
      </c>
      <c r="J103" s="21"/>
      <c r="K103" s="21"/>
      <c r="O103" s="228"/>
      <c r="P103" s="228"/>
    </row>
    <row r="104" spans="1:16" s="8" customFormat="1" ht="28.5" x14ac:dyDescent="0.2">
      <c r="A104" s="379"/>
      <c r="B104" s="384"/>
      <c r="C104" s="384"/>
      <c r="D104" s="9" t="s">
        <v>170</v>
      </c>
      <c r="E104" s="190" t="s">
        <v>25</v>
      </c>
      <c r="F104" s="6">
        <v>2</v>
      </c>
      <c r="G104" s="7">
        <v>113762.63</v>
      </c>
      <c r="H104" s="195">
        <f t="shared" si="9"/>
        <v>227525.26</v>
      </c>
      <c r="I104" s="15">
        <f t="shared" si="5"/>
        <v>227525.26</v>
      </c>
      <c r="J104" s="21"/>
      <c r="K104" s="21"/>
      <c r="O104" s="228"/>
      <c r="P104" s="228"/>
    </row>
    <row r="105" spans="1:16" s="8" customFormat="1" ht="15" customHeight="1" x14ac:dyDescent="0.2">
      <c r="A105" s="379"/>
      <c r="B105" s="384"/>
      <c r="C105" s="384"/>
      <c r="D105" s="9" t="s">
        <v>163</v>
      </c>
      <c r="E105" s="190" t="s">
        <v>25</v>
      </c>
      <c r="F105" s="6">
        <v>8</v>
      </c>
      <c r="G105" s="140">
        <v>73840</v>
      </c>
      <c r="H105" s="195">
        <f t="shared" si="9"/>
        <v>590720</v>
      </c>
      <c r="I105" s="15">
        <f t="shared" si="5"/>
        <v>590720</v>
      </c>
      <c r="J105" s="21"/>
      <c r="K105" s="21"/>
      <c r="O105" s="228"/>
      <c r="P105" s="228"/>
    </row>
    <row r="106" spans="1:16" s="8" customFormat="1" ht="15" customHeight="1" x14ac:dyDescent="0.2">
      <c r="A106" s="379"/>
      <c r="B106" s="384"/>
      <c r="C106" s="384"/>
      <c r="D106" s="9" t="s">
        <v>171</v>
      </c>
      <c r="E106" s="190" t="s">
        <v>25</v>
      </c>
      <c r="F106" s="6">
        <v>2</v>
      </c>
      <c r="G106" s="140">
        <v>10082</v>
      </c>
      <c r="H106" s="195">
        <f t="shared" si="9"/>
        <v>20164</v>
      </c>
      <c r="I106" s="15">
        <f t="shared" si="5"/>
        <v>20164</v>
      </c>
      <c r="K106" s="21"/>
      <c r="O106" s="228"/>
      <c r="P106" s="228"/>
    </row>
    <row r="107" spans="1:16" s="8" customFormat="1" ht="28.5" x14ac:dyDescent="0.2">
      <c r="A107" s="379"/>
      <c r="B107" s="384"/>
      <c r="C107" s="39" t="s">
        <v>297</v>
      </c>
      <c r="D107" s="9" t="s">
        <v>169</v>
      </c>
      <c r="E107" s="190" t="s">
        <v>25</v>
      </c>
      <c r="F107" s="6">
        <v>2</v>
      </c>
      <c r="G107" s="7">
        <v>209752.53</v>
      </c>
      <c r="H107" s="195">
        <f t="shared" si="9"/>
        <v>419505.06</v>
      </c>
      <c r="I107" s="15">
        <f t="shared" ref="I107" si="12">H107</f>
        <v>419505.06</v>
      </c>
      <c r="J107" s="21"/>
      <c r="K107" s="21"/>
      <c r="L107" s="21"/>
      <c r="O107" s="228"/>
      <c r="P107" s="228"/>
    </row>
    <row r="108" spans="1:16" s="8" customFormat="1" ht="28.5" x14ac:dyDescent="0.2">
      <c r="A108" s="379"/>
      <c r="B108" s="384"/>
      <c r="C108" s="384" t="s">
        <v>172</v>
      </c>
      <c r="D108" s="9" t="s">
        <v>173</v>
      </c>
      <c r="E108" s="190" t="s">
        <v>25</v>
      </c>
      <c r="F108" s="6">
        <v>4</v>
      </c>
      <c r="G108" s="140">
        <v>49700</v>
      </c>
      <c r="H108" s="195">
        <f t="shared" si="9"/>
        <v>198800</v>
      </c>
      <c r="I108" s="15">
        <f t="shared" si="5"/>
        <v>198800</v>
      </c>
      <c r="J108" s="21"/>
      <c r="K108" s="158"/>
      <c r="L108" s="158"/>
      <c r="O108" s="228"/>
      <c r="P108" s="228"/>
    </row>
    <row r="109" spans="1:16" s="8" customFormat="1" ht="15" customHeight="1" x14ac:dyDescent="0.2">
      <c r="A109" s="379"/>
      <c r="B109" s="384"/>
      <c r="C109" s="384"/>
      <c r="D109" s="9" t="s">
        <v>174</v>
      </c>
      <c r="E109" s="190" t="s">
        <v>25</v>
      </c>
      <c r="F109" s="6">
        <v>25</v>
      </c>
      <c r="G109" s="140">
        <v>11502</v>
      </c>
      <c r="H109" s="195">
        <f t="shared" si="9"/>
        <v>287550</v>
      </c>
      <c r="I109" s="15">
        <f t="shared" si="5"/>
        <v>287550</v>
      </c>
      <c r="J109" s="21"/>
      <c r="K109" s="21"/>
      <c r="O109" s="228"/>
      <c r="P109" s="228"/>
    </row>
    <row r="110" spans="1:16" s="8" customFormat="1" ht="15.75" customHeight="1" thickBot="1" x14ac:dyDescent="0.25">
      <c r="A110" s="380"/>
      <c r="B110" s="385"/>
      <c r="C110" s="385"/>
      <c r="D110" s="34" t="s">
        <v>175</v>
      </c>
      <c r="E110" s="191" t="s">
        <v>25</v>
      </c>
      <c r="F110" s="16">
        <v>25</v>
      </c>
      <c r="G110" s="143">
        <v>1416.45</v>
      </c>
      <c r="H110" s="196">
        <f t="shared" si="9"/>
        <v>35411.25</v>
      </c>
      <c r="I110" s="147">
        <f t="shared" si="5"/>
        <v>35411.25</v>
      </c>
      <c r="J110" s="21"/>
      <c r="K110" s="21"/>
      <c r="L110" s="21"/>
      <c r="O110" s="228"/>
      <c r="P110" s="228"/>
    </row>
    <row r="111" spans="1:16" ht="15" x14ac:dyDescent="0.25">
      <c r="A111" s="4"/>
      <c r="B111" s="4"/>
      <c r="C111" s="199"/>
      <c r="D111" s="223" t="s">
        <v>42</v>
      </c>
      <c r="E111" s="200"/>
      <c r="F111" s="35"/>
      <c r="G111" s="201"/>
      <c r="H111" s="201"/>
      <c r="I111" s="224">
        <f>SUM(I3:I110)</f>
        <v>429658617.23000014</v>
      </c>
      <c r="J111" s="159">
        <v>478173869.61000019</v>
      </c>
      <c r="K111" s="158">
        <f>I111-J111</f>
        <v>-48515252.380000055</v>
      </c>
      <c r="L111" s="158"/>
    </row>
    <row r="112" spans="1:16" ht="15" x14ac:dyDescent="0.2">
      <c r="A112" s="20"/>
      <c r="B112" s="20"/>
      <c r="C112" s="202"/>
      <c r="D112" s="203" t="s">
        <v>35</v>
      </c>
      <c r="E112" s="197"/>
      <c r="F112" s="3"/>
      <c r="G112" s="204"/>
      <c r="H112" s="204"/>
      <c r="I112" s="204"/>
      <c r="J112" s="158"/>
    </row>
    <row r="113" spans="1:10" ht="30" x14ac:dyDescent="0.2">
      <c r="A113" s="36" t="s">
        <v>4</v>
      </c>
      <c r="B113" s="37" t="s">
        <v>16</v>
      </c>
      <c r="C113" s="37" t="s">
        <v>17</v>
      </c>
      <c r="D113" s="37" t="s">
        <v>3</v>
      </c>
      <c r="E113" s="37" t="s">
        <v>19</v>
      </c>
      <c r="F113" s="37" t="s">
        <v>18</v>
      </c>
      <c r="G113" s="37" t="s">
        <v>5</v>
      </c>
      <c r="H113" s="37" t="s">
        <v>14</v>
      </c>
      <c r="I113" s="37" t="s">
        <v>15</v>
      </c>
      <c r="J113" s="21"/>
    </row>
    <row r="114" spans="1:10" ht="15" x14ac:dyDescent="0.2">
      <c r="A114" s="20"/>
      <c r="B114" s="20"/>
      <c r="C114" s="202"/>
      <c r="D114" s="203"/>
      <c r="E114" s="193" t="s">
        <v>25</v>
      </c>
      <c r="F114" s="3"/>
      <c r="G114" s="204"/>
      <c r="H114" s="204"/>
      <c r="I114" s="204"/>
      <c r="J114" s="21"/>
    </row>
    <row r="115" spans="1:10" ht="30" x14ac:dyDescent="0.2">
      <c r="A115" s="20"/>
      <c r="B115" s="20"/>
      <c r="C115" s="202"/>
      <c r="D115" s="203" t="s">
        <v>88</v>
      </c>
      <c r="E115" s="197"/>
      <c r="F115" s="3"/>
      <c r="G115" s="204"/>
      <c r="H115" s="204"/>
      <c r="I115" s="204"/>
      <c r="J115" s="21"/>
    </row>
    <row r="116" spans="1:10" ht="30" x14ac:dyDescent="0.2">
      <c r="A116" s="36" t="s">
        <v>4</v>
      </c>
      <c r="B116" s="37" t="s">
        <v>16</v>
      </c>
      <c r="C116" s="37" t="s">
        <v>17</v>
      </c>
      <c r="D116" s="37" t="s">
        <v>3</v>
      </c>
      <c r="E116" s="37" t="s">
        <v>19</v>
      </c>
      <c r="F116" s="37" t="s">
        <v>18</v>
      </c>
      <c r="G116" s="37" t="s">
        <v>5</v>
      </c>
      <c r="H116" s="37" t="s">
        <v>14</v>
      </c>
      <c r="I116" s="37" t="s">
        <v>15</v>
      </c>
      <c r="J116" s="21"/>
    </row>
    <row r="117" spans="1:10" ht="42.75" x14ac:dyDescent="0.2">
      <c r="A117" s="38">
        <v>1</v>
      </c>
      <c r="B117" s="5" t="s">
        <v>82</v>
      </c>
      <c r="C117" s="5" t="s">
        <v>82</v>
      </c>
      <c r="D117" s="39" t="s">
        <v>97</v>
      </c>
      <c r="E117" s="193" t="s">
        <v>25</v>
      </c>
      <c r="F117" s="29">
        <v>5</v>
      </c>
      <c r="G117" s="204">
        <v>6101053.0499999998</v>
      </c>
      <c r="H117" s="205">
        <f>G117*F117</f>
        <v>30505265.25</v>
      </c>
      <c r="I117" s="204">
        <f t="shared" ref="I117" si="13">H117</f>
        <v>30505265.25</v>
      </c>
      <c r="J117" s="21">
        <f>I117+I118</f>
        <v>51908623.75</v>
      </c>
    </row>
    <row r="118" spans="1:10" ht="57" x14ac:dyDescent="0.2">
      <c r="A118" s="20" t="s">
        <v>28</v>
      </c>
      <c r="B118" s="5" t="s">
        <v>87</v>
      </c>
      <c r="C118" s="5" t="s">
        <v>87</v>
      </c>
      <c r="D118" s="39" t="s">
        <v>89</v>
      </c>
      <c r="E118" s="193" t="s">
        <v>25</v>
      </c>
      <c r="F118" s="3">
        <v>5</v>
      </c>
      <c r="G118" s="204">
        <v>4280671.7</v>
      </c>
      <c r="H118" s="205">
        <f>G118*F118</f>
        <v>21403358.5</v>
      </c>
      <c r="I118" s="204">
        <f>H118</f>
        <v>21403358.5</v>
      </c>
      <c r="J118" s="21">
        <f>J110+I120+I137</f>
        <v>125790666.73000002</v>
      </c>
    </row>
    <row r="119" spans="1:10" x14ac:dyDescent="0.2">
      <c r="A119" s="38" t="s">
        <v>29</v>
      </c>
      <c r="B119" s="5"/>
      <c r="C119" s="5"/>
      <c r="D119" s="39" t="s">
        <v>305</v>
      </c>
      <c r="E119" s="193" t="s">
        <v>25</v>
      </c>
      <c r="F119" s="3">
        <v>5</v>
      </c>
      <c r="G119" s="204">
        <v>1186206.92</v>
      </c>
      <c r="H119" s="205">
        <f>G119*F119</f>
        <v>5931034.5999999996</v>
      </c>
      <c r="I119" s="204">
        <f>H119</f>
        <v>5931034.5999999996</v>
      </c>
      <c r="J119" s="21"/>
    </row>
    <row r="120" spans="1:10" ht="30" x14ac:dyDescent="0.2">
      <c r="A120" s="20"/>
      <c r="B120" s="20"/>
      <c r="C120" s="202"/>
      <c r="D120" s="214" t="s">
        <v>90</v>
      </c>
      <c r="E120" s="197"/>
      <c r="F120" s="3"/>
      <c r="G120" s="204"/>
      <c r="H120" s="204"/>
      <c r="I120" s="216">
        <f>SUM(I117:I119)</f>
        <v>57839658.350000001</v>
      </c>
      <c r="J120" s="21"/>
    </row>
    <row r="121" spans="1:10" ht="15" x14ac:dyDescent="0.2">
      <c r="A121" s="20"/>
      <c r="B121" s="20"/>
      <c r="C121" s="202"/>
      <c r="D121" s="203" t="s">
        <v>36</v>
      </c>
      <c r="E121" s="197"/>
      <c r="F121" s="3"/>
      <c r="G121" s="204"/>
      <c r="H121" s="204"/>
      <c r="I121" s="204"/>
      <c r="J121" s="21"/>
    </row>
    <row r="122" spans="1:10" ht="30" x14ac:dyDescent="0.2">
      <c r="A122" s="36" t="s">
        <v>4</v>
      </c>
      <c r="B122" s="37" t="s">
        <v>16</v>
      </c>
      <c r="C122" s="37" t="s">
        <v>17</v>
      </c>
      <c r="D122" s="37" t="s">
        <v>3</v>
      </c>
      <c r="E122" s="37" t="s">
        <v>19</v>
      </c>
      <c r="F122" s="37" t="s">
        <v>18</v>
      </c>
      <c r="G122" s="37" t="s">
        <v>5</v>
      </c>
      <c r="H122" s="37" t="s">
        <v>14</v>
      </c>
      <c r="I122" s="37" t="s">
        <v>15</v>
      </c>
      <c r="J122" s="21"/>
    </row>
    <row r="123" spans="1:10" ht="57" x14ac:dyDescent="0.2">
      <c r="A123" s="38">
        <v>1</v>
      </c>
      <c r="B123" s="5" t="s">
        <v>100</v>
      </c>
      <c r="C123" s="9" t="s">
        <v>87</v>
      </c>
      <c r="D123" s="9" t="s">
        <v>91</v>
      </c>
      <c r="E123" s="193" t="s">
        <v>25</v>
      </c>
      <c r="F123" s="29">
        <v>246</v>
      </c>
      <c r="G123" s="204">
        <v>40754.720000000001</v>
      </c>
      <c r="H123" s="205">
        <f t="shared" ref="H123:H136" si="14">G123*F123</f>
        <v>10025661.120000001</v>
      </c>
      <c r="I123" s="204">
        <f t="shared" ref="I123:I126" si="15">H123</f>
        <v>10025661.120000001</v>
      </c>
      <c r="J123" s="21"/>
    </row>
    <row r="124" spans="1:10" ht="42.75" x14ac:dyDescent="0.2">
      <c r="A124" s="38">
        <v>2</v>
      </c>
      <c r="B124" s="5" t="s">
        <v>101</v>
      </c>
      <c r="C124" s="9" t="s">
        <v>87</v>
      </c>
      <c r="D124" s="9" t="s">
        <v>92</v>
      </c>
      <c r="E124" s="193" t="s">
        <v>25</v>
      </c>
      <c r="F124" s="29">
        <v>246</v>
      </c>
      <c r="G124" s="204">
        <v>26792.45</v>
      </c>
      <c r="H124" s="205">
        <f t="shared" si="14"/>
        <v>6590942.7000000002</v>
      </c>
      <c r="I124" s="204">
        <f t="shared" si="15"/>
        <v>6590942.7000000002</v>
      </c>
      <c r="J124" s="21"/>
    </row>
    <row r="125" spans="1:10" ht="57" x14ac:dyDescent="0.2">
      <c r="A125" s="38">
        <v>3</v>
      </c>
      <c r="B125" s="5" t="s">
        <v>104</v>
      </c>
      <c r="C125" s="5" t="s">
        <v>82</v>
      </c>
      <c r="D125" s="39" t="s">
        <v>11</v>
      </c>
      <c r="E125" s="193" t="s">
        <v>25</v>
      </c>
      <c r="F125" s="6">
        <v>246</v>
      </c>
      <c r="G125" s="204">
        <v>8588.6</v>
      </c>
      <c r="H125" s="205">
        <f t="shared" si="14"/>
        <v>2112795.6</v>
      </c>
      <c r="I125" s="204">
        <f t="shared" si="15"/>
        <v>2112795.6</v>
      </c>
      <c r="J125" s="21"/>
    </row>
    <row r="126" spans="1:10" ht="57" x14ac:dyDescent="0.2">
      <c r="A126" s="38">
        <v>4</v>
      </c>
      <c r="B126" s="5" t="s">
        <v>102</v>
      </c>
      <c r="C126" s="5" t="s">
        <v>82</v>
      </c>
      <c r="D126" s="39" t="s">
        <v>12</v>
      </c>
      <c r="E126" s="193" t="s">
        <v>25</v>
      </c>
      <c r="F126" s="6">
        <v>246</v>
      </c>
      <c r="G126" s="204">
        <v>1837.51</v>
      </c>
      <c r="H126" s="205">
        <f t="shared" si="14"/>
        <v>452027.46</v>
      </c>
      <c r="I126" s="204">
        <f t="shared" si="15"/>
        <v>452027.46</v>
      </c>
      <c r="J126" s="21"/>
    </row>
    <row r="127" spans="1:10" ht="71.25" x14ac:dyDescent="0.2">
      <c r="A127" s="38">
        <v>5</v>
      </c>
      <c r="B127" s="5" t="s">
        <v>103</v>
      </c>
      <c r="C127" s="5" t="s">
        <v>82</v>
      </c>
      <c r="D127" s="39" t="s">
        <v>11</v>
      </c>
      <c r="E127" s="193" t="s">
        <v>25</v>
      </c>
      <c r="F127" s="6">
        <v>246</v>
      </c>
      <c r="G127" s="204">
        <v>8588.6</v>
      </c>
      <c r="H127" s="205">
        <f t="shared" si="14"/>
        <v>2112795.6</v>
      </c>
      <c r="I127" s="204">
        <f t="shared" ref="I127:I128" si="16">H127</f>
        <v>2112795.6</v>
      </c>
      <c r="J127" s="21"/>
    </row>
    <row r="128" spans="1:10" ht="71.25" x14ac:dyDescent="0.2">
      <c r="A128" s="38">
        <v>6</v>
      </c>
      <c r="B128" s="5" t="s">
        <v>105</v>
      </c>
      <c r="C128" s="5" t="s">
        <v>82</v>
      </c>
      <c r="D128" s="39" t="s">
        <v>12</v>
      </c>
      <c r="E128" s="193" t="s">
        <v>25</v>
      </c>
      <c r="F128" s="6">
        <v>246</v>
      </c>
      <c r="G128" s="204">
        <v>1837.51</v>
      </c>
      <c r="H128" s="205">
        <f t="shared" si="14"/>
        <v>452027.46</v>
      </c>
      <c r="I128" s="204">
        <f t="shared" si="16"/>
        <v>452027.46</v>
      </c>
      <c r="J128" s="21"/>
    </row>
    <row r="129" spans="1:10" ht="57" x14ac:dyDescent="0.2">
      <c r="A129" s="38">
        <v>7</v>
      </c>
      <c r="B129" s="5" t="s">
        <v>106</v>
      </c>
      <c r="C129" s="5" t="s">
        <v>82</v>
      </c>
      <c r="D129" s="39" t="s">
        <v>11</v>
      </c>
      <c r="E129" s="193" t="s">
        <v>25</v>
      </c>
      <c r="F129" s="6">
        <v>246</v>
      </c>
      <c r="G129" s="204">
        <v>8588.6</v>
      </c>
      <c r="H129" s="205">
        <f t="shared" si="14"/>
        <v>2112795.6</v>
      </c>
      <c r="I129" s="204">
        <f t="shared" ref="I129:I130" si="17">H129</f>
        <v>2112795.6</v>
      </c>
      <c r="J129" s="21"/>
    </row>
    <row r="130" spans="1:10" ht="57" x14ac:dyDescent="0.2">
      <c r="A130" s="38">
        <v>8</v>
      </c>
      <c r="B130" s="5" t="s">
        <v>107</v>
      </c>
      <c r="C130" s="5" t="s">
        <v>82</v>
      </c>
      <c r="D130" s="39" t="s">
        <v>12</v>
      </c>
      <c r="E130" s="193" t="s">
        <v>25</v>
      </c>
      <c r="F130" s="6">
        <v>246</v>
      </c>
      <c r="G130" s="204">
        <v>1837.51</v>
      </c>
      <c r="H130" s="205">
        <f t="shared" si="14"/>
        <v>452027.46</v>
      </c>
      <c r="I130" s="204">
        <f t="shared" si="17"/>
        <v>452027.46</v>
      </c>
      <c r="J130" s="21"/>
    </row>
    <row r="131" spans="1:10" ht="71.25" x14ac:dyDescent="0.2">
      <c r="A131" s="38">
        <v>9</v>
      </c>
      <c r="B131" s="5" t="s">
        <v>108</v>
      </c>
      <c r="C131" s="5" t="s">
        <v>82</v>
      </c>
      <c r="D131" s="39" t="s">
        <v>11</v>
      </c>
      <c r="E131" s="193" t="s">
        <v>25</v>
      </c>
      <c r="F131" s="6">
        <f>F19+F25+F31+F37+F43+F67+F73+F92+F102</f>
        <v>71</v>
      </c>
      <c r="G131" s="204">
        <v>8588.6</v>
      </c>
      <c r="H131" s="205">
        <f t="shared" si="14"/>
        <v>609790.6</v>
      </c>
      <c r="I131" s="204">
        <f t="shared" ref="I131:I136" si="18">H131</f>
        <v>609790.6</v>
      </c>
      <c r="J131" s="21"/>
    </row>
    <row r="132" spans="1:10" ht="71.25" x14ac:dyDescent="0.2">
      <c r="A132" s="38">
        <v>10</v>
      </c>
      <c r="B132" s="5" t="s">
        <v>109</v>
      </c>
      <c r="C132" s="5" t="s">
        <v>82</v>
      </c>
      <c r="D132" s="39" t="s">
        <v>12</v>
      </c>
      <c r="E132" s="193" t="s">
        <v>25</v>
      </c>
      <c r="F132" s="6">
        <f>F131</f>
        <v>71</v>
      </c>
      <c r="G132" s="204">
        <v>1837.51</v>
      </c>
      <c r="H132" s="205">
        <f t="shared" si="14"/>
        <v>130463.21</v>
      </c>
      <c r="I132" s="204">
        <f t="shared" si="18"/>
        <v>130463.21</v>
      </c>
      <c r="J132" s="21"/>
    </row>
    <row r="133" spans="1:10" ht="71.25" x14ac:dyDescent="0.2">
      <c r="A133" s="38">
        <v>11</v>
      </c>
      <c r="B133" s="5" t="s">
        <v>177</v>
      </c>
      <c r="C133" s="5" t="s">
        <v>87</v>
      </c>
      <c r="D133" s="9" t="s">
        <v>95</v>
      </c>
      <c r="E133" s="193" t="s">
        <v>25</v>
      </c>
      <c r="F133" s="6">
        <v>1</v>
      </c>
      <c r="G133" s="204">
        <v>1674242.42</v>
      </c>
      <c r="H133" s="205">
        <f t="shared" si="14"/>
        <v>1674242.42</v>
      </c>
      <c r="I133" s="204">
        <f t="shared" si="18"/>
        <v>1674242.42</v>
      </c>
      <c r="J133" s="21"/>
    </row>
    <row r="134" spans="1:10" ht="57" x14ac:dyDescent="0.2">
      <c r="A134" s="38">
        <v>12</v>
      </c>
      <c r="B134" s="5" t="s">
        <v>178</v>
      </c>
      <c r="C134" s="40" t="s">
        <v>87</v>
      </c>
      <c r="D134" s="9" t="s">
        <v>94</v>
      </c>
      <c r="E134" s="193" t="s">
        <v>25</v>
      </c>
      <c r="F134" s="6">
        <v>24</v>
      </c>
      <c r="G134" s="204">
        <v>574716.98</v>
      </c>
      <c r="H134" s="205">
        <f t="shared" si="14"/>
        <v>13793207.52</v>
      </c>
      <c r="I134" s="204">
        <f t="shared" si="18"/>
        <v>13793207.52</v>
      </c>
      <c r="J134" s="21"/>
    </row>
    <row r="135" spans="1:10" ht="57" x14ac:dyDescent="0.2">
      <c r="A135" s="38">
        <v>13</v>
      </c>
      <c r="B135" s="5" t="s">
        <v>179</v>
      </c>
      <c r="C135" s="40" t="s">
        <v>87</v>
      </c>
      <c r="D135" s="9" t="s">
        <v>93</v>
      </c>
      <c r="E135" s="193" t="s">
        <v>25</v>
      </c>
      <c r="F135" s="6">
        <v>24</v>
      </c>
      <c r="G135" s="204">
        <v>1032830.19</v>
      </c>
      <c r="H135" s="205">
        <f t="shared" si="14"/>
        <v>24787924.559999999</v>
      </c>
      <c r="I135" s="204">
        <f t="shared" si="18"/>
        <v>24787924.559999999</v>
      </c>
      <c r="J135" s="21"/>
    </row>
    <row r="136" spans="1:10" ht="42.75" x14ac:dyDescent="0.2">
      <c r="A136" s="38">
        <v>14</v>
      </c>
      <c r="B136" s="5" t="s">
        <v>180</v>
      </c>
      <c r="C136" s="5" t="s">
        <v>82</v>
      </c>
      <c r="D136" s="39" t="s">
        <v>13</v>
      </c>
      <c r="E136" s="193" t="s">
        <v>25</v>
      </c>
      <c r="F136" s="6">
        <v>1</v>
      </c>
      <c r="G136" s="204">
        <v>2644307.0699999998</v>
      </c>
      <c r="H136" s="205">
        <f t="shared" si="14"/>
        <v>2644307.0699999998</v>
      </c>
      <c r="I136" s="204">
        <f t="shared" si="18"/>
        <v>2644307.0699999998</v>
      </c>
      <c r="J136" s="21"/>
    </row>
    <row r="137" spans="1:10" ht="15" x14ac:dyDescent="0.2">
      <c r="A137" s="20"/>
      <c r="B137" s="20"/>
      <c r="C137" s="202"/>
      <c r="D137" s="214" t="s">
        <v>43</v>
      </c>
      <c r="E137" s="197"/>
      <c r="F137" s="3"/>
      <c r="G137" s="204"/>
      <c r="H137" s="204"/>
      <c r="I137" s="216">
        <f>SUM(I123:I136)</f>
        <v>67951008.38000001</v>
      </c>
      <c r="J137" s="21"/>
    </row>
    <row r="138" spans="1:10" ht="15" x14ac:dyDescent="0.2">
      <c r="A138" s="20"/>
      <c r="B138" s="20"/>
      <c r="C138" s="202"/>
      <c r="D138" s="203" t="s">
        <v>44</v>
      </c>
      <c r="E138" s="197"/>
      <c r="F138" s="3"/>
      <c r="G138" s="204"/>
      <c r="H138" s="204"/>
      <c r="I138" s="204"/>
      <c r="J138" s="21"/>
    </row>
    <row r="139" spans="1:10" ht="30" x14ac:dyDescent="0.2">
      <c r="A139" s="37" t="s">
        <v>4</v>
      </c>
      <c r="B139" s="61" t="s">
        <v>211</v>
      </c>
      <c r="C139" s="61" t="s">
        <v>212</v>
      </c>
      <c r="D139" s="61" t="s">
        <v>264</v>
      </c>
      <c r="E139" s="37" t="s">
        <v>19</v>
      </c>
      <c r="F139" s="37" t="s">
        <v>18</v>
      </c>
      <c r="G139" s="37" t="s">
        <v>5</v>
      </c>
      <c r="H139" s="37" t="s">
        <v>14</v>
      </c>
      <c r="I139" s="37" t="s">
        <v>15</v>
      </c>
      <c r="J139" s="21"/>
    </row>
    <row r="140" spans="1:10" ht="42.75" x14ac:dyDescent="0.2">
      <c r="A140" s="20" t="s">
        <v>27</v>
      </c>
      <c r="B140" s="179" t="s">
        <v>56</v>
      </c>
      <c r="C140" s="3">
        <v>30</v>
      </c>
      <c r="D140" s="3">
        <v>105</v>
      </c>
      <c r="E140" s="3" t="s">
        <v>52</v>
      </c>
      <c r="F140" s="217">
        <f t="shared" ref="F140:F151" si="19">C140*D140*8</f>
        <v>25200</v>
      </c>
      <c r="G140" s="180">
        <v>375.95</v>
      </c>
      <c r="H140" s="140"/>
      <c r="I140" s="140">
        <f t="shared" ref="I140:I152" si="20">ROUND(F140*G140,2)</f>
        <v>9473940</v>
      </c>
      <c r="J140" s="21"/>
    </row>
    <row r="141" spans="1:10" x14ac:dyDescent="0.2">
      <c r="A141" s="20" t="s">
        <v>28</v>
      </c>
      <c r="B141" s="179" t="s">
        <v>83</v>
      </c>
      <c r="C141" s="3">
        <v>120</v>
      </c>
      <c r="D141" s="3">
        <v>105</v>
      </c>
      <c r="E141" s="3" t="s">
        <v>52</v>
      </c>
      <c r="F141" s="217">
        <f>C141*D141*8</f>
        <v>100800</v>
      </c>
      <c r="G141" s="180">
        <v>291.06</v>
      </c>
      <c r="H141" s="140"/>
      <c r="I141" s="140">
        <f t="shared" si="20"/>
        <v>29338848</v>
      </c>
      <c r="J141" s="21"/>
    </row>
    <row r="142" spans="1:10" ht="28.5" x14ac:dyDescent="0.2">
      <c r="A142" s="20" t="s">
        <v>29</v>
      </c>
      <c r="B142" s="179" t="s">
        <v>84</v>
      </c>
      <c r="C142" s="3">
        <v>30</v>
      </c>
      <c r="D142" s="3">
        <v>105</v>
      </c>
      <c r="E142" s="3" t="s">
        <v>52</v>
      </c>
      <c r="F142" s="217">
        <f t="shared" si="19"/>
        <v>25200</v>
      </c>
      <c r="G142" s="180">
        <v>363.82</v>
      </c>
      <c r="H142" s="140"/>
      <c r="I142" s="140">
        <f t="shared" si="20"/>
        <v>9168264</v>
      </c>
      <c r="J142" s="21"/>
    </row>
    <row r="143" spans="1:10" x14ac:dyDescent="0.2">
      <c r="A143" s="20" t="s">
        <v>30</v>
      </c>
      <c r="B143" s="179" t="s">
        <v>45</v>
      </c>
      <c r="C143" s="3">
        <v>6</v>
      </c>
      <c r="D143" s="3">
        <v>105</v>
      </c>
      <c r="E143" s="3" t="s">
        <v>52</v>
      </c>
      <c r="F143" s="217">
        <f t="shared" si="19"/>
        <v>5040</v>
      </c>
      <c r="G143" s="180">
        <v>667</v>
      </c>
      <c r="H143" s="140"/>
      <c r="I143" s="140">
        <f t="shared" si="20"/>
        <v>3361680</v>
      </c>
      <c r="J143" s="21"/>
    </row>
    <row r="144" spans="1:10" ht="28.5" x14ac:dyDescent="0.2">
      <c r="A144" s="20" t="s">
        <v>31</v>
      </c>
      <c r="B144" s="179" t="s">
        <v>46</v>
      </c>
      <c r="C144" s="3">
        <v>4</v>
      </c>
      <c r="D144" s="3">
        <v>126</v>
      </c>
      <c r="E144" s="3" t="s">
        <v>52</v>
      </c>
      <c r="F144" s="217">
        <f t="shared" si="19"/>
        <v>4032</v>
      </c>
      <c r="G144" s="180">
        <v>727.64</v>
      </c>
      <c r="H144" s="3"/>
      <c r="I144" s="140">
        <f t="shared" si="20"/>
        <v>2933844.48</v>
      </c>
      <c r="J144" s="21"/>
    </row>
    <row r="145" spans="1:12" ht="28.5" x14ac:dyDescent="0.2">
      <c r="A145" s="20" t="s">
        <v>32</v>
      </c>
      <c r="B145" s="179" t="s">
        <v>55</v>
      </c>
      <c r="C145" s="3">
        <v>4</v>
      </c>
      <c r="D145" s="3">
        <v>126</v>
      </c>
      <c r="E145" s="3" t="s">
        <v>52</v>
      </c>
      <c r="F145" s="217">
        <f t="shared" si="19"/>
        <v>4032</v>
      </c>
      <c r="G145" s="180">
        <v>667</v>
      </c>
      <c r="H145" s="140"/>
      <c r="I145" s="140">
        <f t="shared" si="20"/>
        <v>2689344</v>
      </c>
      <c r="J145" s="21"/>
    </row>
    <row r="146" spans="1:12" ht="28.5" x14ac:dyDescent="0.2">
      <c r="A146" s="20" t="s">
        <v>33</v>
      </c>
      <c r="B146" s="179" t="s">
        <v>85</v>
      </c>
      <c r="C146" s="3">
        <v>2</v>
      </c>
      <c r="D146" s="3">
        <v>189</v>
      </c>
      <c r="E146" s="3" t="s">
        <v>52</v>
      </c>
      <c r="F146" s="217">
        <f t="shared" si="19"/>
        <v>3024</v>
      </c>
      <c r="G146" s="180">
        <v>394.14</v>
      </c>
      <c r="H146" s="140"/>
      <c r="I146" s="140">
        <f t="shared" si="20"/>
        <v>1191879.3600000001</v>
      </c>
      <c r="J146" s="21"/>
    </row>
    <row r="147" spans="1:12" x14ac:dyDescent="0.2">
      <c r="A147" s="20" t="s">
        <v>34</v>
      </c>
      <c r="B147" s="179" t="s">
        <v>86</v>
      </c>
      <c r="C147" s="3">
        <v>8</v>
      </c>
      <c r="D147" s="3">
        <v>189</v>
      </c>
      <c r="E147" s="3" t="s">
        <v>52</v>
      </c>
      <c r="F147" s="217">
        <f t="shared" si="19"/>
        <v>12096</v>
      </c>
      <c r="G147" s="180">
        <v>212.23</v>
      </c>
      <c r="H147" s="140"/>
      <c r="I147" s="140">
        <f t="shared" si="20"/>
        <v>2567134.08</v>
      </c>
      <c r="J147" s="21"/>
    </row>
    <row r="148" spans="1:12" ht="28.5" x14ac:dyDescent="0.2">
      <c r="A148" s="20" t="s">
        <v>37</v>
      </c>
      <c r="B148" s="179" t="s">
        <v>47</v>
      </c>
      <c r="C148" s="3">
        <v>1</v>
      </c>
      <c r="D148" s="3">
        <v>189</v>
      </c>
      <c r="E148" s="3" t="s">
        <v>52</v>
      </c>
      <c r="F148" s="217">
        <f t="shared" si="19"/>
        <v>1512</v>
      </c>
      <c r="G148" s="180">
        <v>757.96</v>
      </c>
      <c r="H148" s="140"/>
      <c r="I148" s="140">
        <f t="shared" si="20"/>
        <v>1146035.52</v>
      </c>
      <c r="J148" s="21"/>
    </row>
    <row r="149" spans="1:12" ht="28.5" x14ac:dyDescent="0.2">
      <c r="A149" s="20" t="s">
        <v>38</v>
      </c>
      <c r="B149" s="179" t="s">
        <v>51</v>
      </c>
      <c r="C149" s="3">
        <v>1</v>
      </c>
      <c r="D149" s="3">
        <v>189</v>
      </c>
      <c r="E149" s="3" t="s">
        <v>52</v>
      </c>
      <c r="F149" s="217">
        <f t="shared" si="19"/>
        <v>1512</v>
      </c>
      <c r="G149" s="180">
        <v>848.91</v>
      </c>
      <c r="H149" s="140"/>
      <c r="I149" s="140">
        <f t="shared" si="20"/>
        <v>1283551.92</v>
      </c>
      <c r="J149" s="21"/>
    </row>
    <row r="150" spans="1:12" x14ac:dyDescent="0.2">
      <c r="A150" s="20" t="s">
        <v>242</v>
      </c>
      <c r="B150" s="179" t="s">
        <v>48</v>
      </c>
      <c r="C150" s="3">
        <v>4</v>
      </c>
      <c r="D150" s="3">
        <v>105</v>
      </c>
      <c r="E150" s="3" t="s">
        <v>52</v>
      </c>
      <c r="F150" s="217">
        <f t="shared" si="19"/>
        <v>3360</v>
      </c>
      <c r="G150" s="180">
        <v>424.46</v>
      </c>
      <c r="H150" s="140"/>
      <c r="I150" s="140">
        <f t="shared" si="20"/>
        <v>1426185.6</v>
      </c>
      <c r="J150" s="21"/>
    </row>
    <row r="151" spans="1:12" ht="28.5" x14ac:dyDescent="0.2">
      <c r="A151" s="20" t="s">
        <v>258</v>
      </c>
      <c r="B151" s="179" t="s">
        <v>49</v>
      </c>
      <c r="C151" s="3">
        <v>2</v>
      </c>
      <c r="D151" s="3">
        <v>189</v>
      </c>
      <c r="E151" s="3" t="s">
        <v>52</v>
      </c>
      <c r="F151" s="217">
        <f t="shared" si="19"/>
        <v>3024</v>
      </c>
      <c r="G151" s="180">
        <v>485.09</v>
      </c>
      <c r="H151" s="140"/>
      <c r="I151" s="140">
        <f t="shared" si="20"/>
        <v>1466912.16</v>
      </c>
      <c r="J151" s="21"/>
    </row>
    <row r="152" spans="1:12" x14ac:dyDescent="0.2">
      <c r="A152" s="20" t="s">
        <v>41</v>
      </c>
      <c r="B152" s="181" t="s">
        <v>50</v>
      </c>
      <c r="C152" s="3">
        <v>15</v>
      </c>
      <c r="D152" s="3">
        <v>105</v>
      </c>
      <c r="E152" s="3" t="s">
        <v>52</v>
      </c>
      <c r="F152" s="217">
        <f>C152*D152*2</f>
        <v>3150</v>
      </c>
      <c r="G152" s="180">
        <v>242.55</v>
      </c>
      <c r="H152" s="140"/>
      <c r="I152" s="140">
        <f t="shared" si="20"/>
        <v>764032.5</v>
      </c>
      <c r="J152" s="21"/>
    </row>
    <row r="153" spans="1:12" ht="15" x14ac:dyDescent="0.2">
      <c r="A153" s="20"/>
      <c r="B153" s="20"/>
      <c r="C153" s="202"/>
      <c r="D153" s="214" t="s">
        <v>54</v>
      </c>
      <c r="E153" s="197"/>
      <c r="F153" s="3"/>
      <c r="G153" s="204"/>
      <c r="H153" s="204"/>
      <c r="I153" s="216">
        <f>SUM(I140:I152)</f>
        <v>66811651.619999997</v>
      </c>
      <c r="J153" s="21">
        <v>104629903.73000002</v>
      </c>
      <c r="K153" s="188">
        <f>J153-I153-I154</f>
        <v>17641133.320000023</v>
      </c>
    </row>
    <row r="154" spans="1:12" ht="15" x14ac:dyDescent="0.2">
      <c r="A154" s="20"/>
      <c r="B154" s="20"/>
      <c r="C154" s="202"/>
      <c r="D154" s="218" t="s">
        <v>72</v>
      </c>
      <c r="E154" s="3"/>
      <c r="F154" s="3"/>
      <c r="G154" s="204"/>
      <c r="H154" s="204"/>
      <c r="I154" s="215">
        <f>ROUND(I153*0.302,2)</f>
        <v>20177118.789999999</v>
      </c>
      <c r="J154" s="21"/>
    </row>
    <row r="155" spans="1:12" ht="15" x14ac:dyDescent="0.2">
      <c r="A155" s="20"/>
      <c r="B155" s="20"/>
      <c r="C155" s="202"/>
      <c r="D155" s="198" t="s">
        <v>99</v>
      </c>
      <c r="E155" s="3"/>
      <c r="F155" s="3"/>
      <c r="G155" s="204"/>
      <c r="H155" s="204"/>
      <c r="I155" s="206"/>
      <c r="J155" s="21"/>
    </row>
    <row r="156" spans="1:12" x14ac:dyDescent="0.2">
      <c r="A156" s="20" t="s">
        <v>27</v>
      </c>
      <c r="B156" s="20"/>
      <c r="C156" s="202"/>
      <c r="D156" s="219" t="s">
        <v>310</v>
      </c>
      <c r="E156" s="3" t="s">
        <v>25</v>
      </c>
      <c r="F156" s="3">
        <v>246</v>
      </c>
      <c r="G156" s="227">
        <v>201424.83</v>
      </c>
      <c r="H156" s="182">
        <f>G156*F156</f>
        <v>49550508.18</v>
      </c>
      <c r="I156" s="220">
        <f>ROUND(H156,2)</f>
        <v>49550508.18</v>
      </c>
      <c r="J156" s="21">
        <f>I156+I154+I153+I158</f>
        <v>138901778.59</v>
      </c>
      <c r="K156" s="21">
        <v>63650244.845274992</v>
      </c>
      <c r="L156" s="226">
        <f>ROUND(K156/F156,2)</f>
        <v>258740.83</v>
      </c>
    </row>
    <row r="157" spans="1:12" ht="15" x14ac:dyDescent="0.2">
      <c r="A157" s="20"/>
      <c r="B157" s="20"/>
      <c r="C157" s="202"/>
      <c r="D157" s="203" t="s">
        <v>57</v>
      </c>
      <c r="E157" s="197"/>
      <c r="F157" s="3"/>
      <c r="G157" s="204"/>
      <c r="H157" s="204"/>
      <c r="I157" s="204"/>
      <c r="J157" s="21"/>
    </row>
    <row r="158" spans="1:12" x14ac:dyDescent="0.2">
      <c r="A158" s="20" t="s">
        <v>27</v>
      </c>
      <c r="B158" s="20"/>
      <c r="C158" s="202"/>
      <c r="D158" s="221" t="s">
        <v>59</v>
      </c>
      <c r="E158" s="197" t="s">
        <v>58</v>
      </c>
      <c r="F158" s="217">
        <f>C152*1.5*2*D152</f>
        <v>4725</v>
      </c>
      <c r="G158" s="204">
        <f>2000*2/8</f>
        <v>500</v>
      </c>
      <c r="H158" s="204"/>
      <c r="I158" s="222">
        <f>F158*G158</f>
        <v>2362500</v>
      </c>
      <c r="J158" s="21"/>
    </row>
    <row r="159" spans="1:12" ht="30" x14ac:dyDescent="0.2">
      <c r="A159" s="20"/>
      <c r="B159" s="20"/>
      <c r="C159" s="202"/>
      <c r="D159" s="203" t="s">
        <v>73</v>
      </c>
      <c r="E159" s="197"/>
      <c r="F159" s="3"/>
      <c r="G159" s="204"/>
      <c r="H159" s="204"/>
      <c r="I159" s="207">
        <f>I111+I120+I137+I153+I154+I158</f>
        <v>644800554.37000012</v>
      </c>
      <c r="J159" s="21">
        <f>I159+I156</f>
        <v>694351062.55000007</v>
      </c>
    </row>
    <row r="160" spans="1:12" ht="15" x14ac:dyDescent="0.2">
      <c r="A160" s="20"/>
      <c r="B160" s="20"/>
      <c r="C160" s="202"/>
      <c r="D160" s="203" t="s">
        <v>74</v>
      </c>
      <c r="E160" s="197"/>
      <c r="F160" s="3"/>
      <c r="G160" s="204"/>
      <c r="H160" s="204"/>
      <c r="I160" s="204"/>
      <c r="J160" s="183">
        <f>I173/(I159-I137)</f>
        <v>8.2491666901346426E-3</v>
      </c>
    </row>
    <row r="161" spans="1:12" x14ac:dyDescent="0.2">
      <c r="A161" s="20"/>
      <c r="B161" s="20"/>
      <c r="C161" s="202"/>
      <c r="D161" s="208" t="s">
        <v>60</v>
      </c>
      <c r="E161" s="208" t="s">
        <v>61</v>
      </c>
      <c r="F161" s="208">
        <v>9</v>
      </c>
      <c r="G161" s="208">
        <v>324500.34000000003</v>
      </c>
      <c r="H161" s="204"/>
      <c r="I161" s="204">
        <f>F161*G161</f>
        <v>2920503.06</v>
      </c>
      <c r="J161" s="21">
        <f>G161*12/400</f>
        <v>9735.0102000000006</v>
      </c>
    </row>
    <row r="162" spans="1:12" x14ac:dyDescent="0.2">
      <c r="A162" s="20"/>
      <c r="B162" s="20"/>
      <c r="C162" s="202"/>
      <c r="D162" s="208" t="s">
        <v>62</v>
      </c>
      <c r="E162" s="208" t="s">
        <v>61</v>
      </c>
      <c r="F162" s="208">
        <v>9</v>
      </c>
      <c r="G162" s="208">
        <v>159875</v>
      </c>
      <c r="H162" s="204"/>
      <c r="I162" s="204">
        <f>F162*G162</f>
        <v>1438875</v>
      </c>
      <c r="J162" s="21">
        <f>158*12000/12</f>
        <v>158000</v>
      </c>
    </row>
    <row r="163" spans="1:12" x14ac:dyDescent="0.2">
      <c r="A163" s="20"/>
      <c r="B163" s="20"/>
      <c r="C163" s="202"/>
      <c r="D163" s="208" t="s">
        <v>63</v>
      </c>
      <c r="E163" s="208" t="s">
        <v>25</v>
      </c>
      <c r="F163" s="208">
        <v>1</v>
      </c>
      <c r="G163" s="204"/>
      <c r="H163" s="204"/>
      <c r="I163" s="204">
        <f>I172</f>
        <v>399150</v>
      </c>
      <c r="J163" s="21"/>
    </row>
    <row r="164" spans="1:12" x14ac:dyDescent="0.2">
      <c r="A164" s="20"/>
      <c r="B164" s="20"/>
      <c r="C164" s="202"/>
      <c r="D164" s="382" t="s">
        <v>64</v>
      </c>
      <c r="E164" s="382"/>
      <c r="F164" s="382"/>
      <c r="G164" s="204"/>
      <c r="H164" s="204"/>
      <c r="I164" s="204"/>
      <c r="J164" s="21"/>
    </row>
    <row r="165" spans="1:12" x14ac:dyDescent="0.2">
      <c r="A165" s="20"/>
      <c r="B165" s="20"/>
      <c r="C165" s="202"/>
      <c r="D165" s="210" t="s">
        <v>81</v>
      </c>
      <c r="E165" s="193" t="s">
        <v>65</v>
      </c>
      <c r="F165" s="193" t="s">
        <v>66</v>
      </c>
      <c r="G165" s="193" t="s">
        <v>67</v>
      </c>
      <c r="H165" s="204"/>
      <c r="I165" s="204"/>
      <c r="J165" s="21"/>
    </row>
    <row r="166" spans="1:12" x14ac:dyDescent="0.2">
      <c r="A166" s="20"/>
      <c r="B166" s="20"/>
      <c r="C166" s="202"/>
      <c r="D166" s="211" t="s">
        <v>68</v>
      </c>
      <c r="E166" s="211">
        <v>140000</v>
      </c>
      <c r="F166" s="211">
        <f>E166*9</f>
        <v>1260000</v>
      </c>
      <c r="G166" s="211">
        <v>0.04</v>
      </c>
      <c r="H166" s="204"/>
      <c r="I166" s="205">
        <f t="shared" ref="I166:I171" si="21">E166*G166</f>
        <v>5600</v>
      </c>
      <c r="J166" s="21"/>
    </row>
    <row r="167" spans="1:12" x14ac:dyDescent="0.2">
      <c r="A167" s="20"/>
      <c r="B167" s="20"/>
      <c r="C167" s="202"/>
      <c r="D167" s="211" t="s">
        <v>69</v>
      </c>
      <c r="E167" s="211">
        <v>100000</v>
      </c>
      <c r="F167" s="211">
        <f t="shared" ref="F167:F171" si="22">E167*9</f>
        <v>900000</v>
      </c>
      <c r="G167" s="211">
        <v>7.0000000000000007E-2</v>
      </c>
      <c r="H167" s="204"/>
      <c r="I167" s="205">
        <f t="shared" si="21"/>
        <v>7000.0000000000009</v>
      </c>
      <c r="J167" s="21"/>
    </row>
    <row r="168" spans="1:12" x14ac:dyDescent="0.2">
      <c r="A168" s="20"/>
      <c r="B168" s="20"/>
      <c r="C168" s="202"/>
      <c r="D168" s="211" t="s">
        <v>70</v>
      </c>
      <c r="E168" s="211">
        <v>90000</v>
      </c>
      <c r="F168" s="211">
        <f t="shared" si="22"/>
        <v>810000</v>
      </c>
      <c r="G168" s="211">
        <v>7.0000000000000007E-2</v>
      </c>
      <c r="H168" s="204"/>
      <c r="I168" s="205">
        <f t="shared" si="21"/>
        <v>6300.0000000000009</v>
      </c>
      <c r="J168" s="21"/>
    </row>
    <row r="169" spans="1:12" x14ac:dyDescent="0.2">
      <c r="A169" s="20"/>
      <c r="B169" s="20"/>
      <c r="C169" s="202"/>
      <c r="D169" s="211" t="s">
        <v>76</v>
      </c>
      <c r="E169" s="211">
        <v>80000</v>
      </c>
      <c r="F169" s="211">
        <f t="shared" si="22"/>
        <v>720000</v>
      </c>
      <c r="G169" s="211">
        <v>0.12</v>
      </c>
      <c r="H169" s="204"/>
      <c r="I169" s="205">
        <f t="shared" si="21"/>
        <v>9600</v>
      </c>
      <c r="J169" s="21"/>
    </row>
    <row r="170" spans="1:12" x14ac:dyDescent="0.2">
      <c r="A170" s="20"/>
      <c r="B170" s="20"/>
      <c r="C170" s="202"/>
      <c r="D170" s="211" t="s">
        <v>71</v>
      </c>
      <c r="E170" s="211">
        <v>85000</v>
      </c>
      <c r="F170" s="211">
        <f t="shared" si="22"/>
        <v>765000</v>
      </c>
      <c r="G170" s="211">
        <v>0.13</v>
      </c>
      <c r="H170" s="204"/>
      <c r="I170" s="205">
        <f t="shared" si="21"/>
        <v>11050</v>
      </c>
      <c r="J170" s="21"/>
    </row>
    <row r="171" spans="1:12" x14ac:dyDescent="0.2">
      <c r="A171" s="20"/>
      <c r="B171" s="20"/>
      <c r="C171" s="202"/>
      <c r="D171" s="211" t="s">
        <v>296</v>
      </c>
      <c r="E171" s="211">
        <v>60000</v>
      </c>
      <c r="F171" s="211">
        <f t="shared" si="22"/>
        <v>540000</v>
      </c>
      <c r="G171" s="211">
        <v>0.08</v>
      </c>
      <c r="H171" s="204"/>
      <c r="I171" s="205">
        <f t="shared" si="21"/>
        <v>4800</v>
      </c>
      <c r="J171" s="21"/>
    </row>
    <row r="172" spans="1:12" x14ac:dyDescent="0.2">
      <c r="A172" s="20"/>
      <c r="B172" s="20"/>
      <c r="C172" s="202"/>
      <c r="D172" s="381" t="s">
        <v>75</v>
      </c>
      <c r="E172" s="381"/>
      <c r="F172" s="381"/>
      <c r="G172" s="197"/>
      <c r="H172" s="204"/>
      <c r="I172" s="205">
        <f>SUM(I166:I171)*9</f>
        <v>399150</v>
      </c>
      <c r="J172" s="21"/>
    </row>
    <row r="173" spans="1:12" ht="15" x14ac:dyDescent="0.2">
      <c r="A173" s="20"/>
      <c r="B173" s="20"/>
      <c r="C173" s="202"/>
      <c r="D173" s="214" t="s">
        <v>77</v>
      </c>
      <c r="E173" s="197"/>
      <c r="F173" s="3"/>
      <c r="G173" s="204"/>
      <c r="H173" s="204"/>
      <c r="I173" s="215">
        <f>SUM(I161:I163)</f>
        <v>4758528.0600000005</v>
      </c>
      <c r="J173" s="21">
        <f>(I173+I176)/I159</f>
        <v>2.4431665285077099E-2</v>
      </c>
    </row>
    <row r="174" spans="1:12" ht="15" x14ac:dyDescent="0.2">
      <c r="A174" s="20"/>
      <c r="B174" s="20"/>
      <c r="C174" s="202"/>
      <c r="D174" s="212"/>
      <c r="E174" s="197"/>
      <c r="F174" s="3"/>
      <c r="G174" s="204"/>
      <c r="H174" s="204"/>
      <c r="I174" s="206"/>
      <c r="J174" s="21">
        <f>I173+I176</f>
        <v>15753551.32</v>
      </c>
    </row>
    <row r="175" spans="1:12" ht="15" x14ac:dyDescent="0.2">
      <c r="A175" s="20"/>
      <c r="B175" s="20"/>
      <c r="C175" s="202"/>
      <c r="D175" s="212" t="s">
        <v>78</v>
      </c>
      <c r="E175" s="197"/>
      <c r="F175" s="3"/>
      <c r="G175" s="204"/>
      <c r="H175" s="204">
        <f>I175-I173</f>
        <v>694351062.55000007</v>
      </c>
      <c r="I175" s="207">
        <f>I159+I173+I156</f>
        <v>699109590.61000001</v>
      </c>
      <c r="J175" s="21"/>
    </row>
    <row r="176" spans="1:12" ht="15" x14ac:dyDescent="0.25">
      <c r="A176" s="20"/>
      <c r="B176" s="20"/>
      <c r="C176" s="202"/>
      <c r="D176" s="212" t="s">
        <v>257</v>
      </c>
      <c r="E176" s="197" t="s">
        <v>176</v>
      </c>
      <c r="F176" s="209">
        <v>5</v>
      </c>
      <c r="G176" s="204"/>
      <c r="H176" s="204"/>
      <c r="I176" s="206">
        <f>ROUND((I175-I156-I111)*F176%,2)</f>
        <v>10995023.26</v>
      </c>
      <c r="J176" s="213">
        <f>ROUND(I137*F176%,2)</f>
        <v>3397550.42</v>
      </c>
      <c r="K176" s="21">
        <f>I175-I156-I111</f>
        <v>219900465.19999993</v>
      </c>
      <c r="L176" s="21">
        <f>K176*F176%</f>
        <v>10995023.259999998</v>
      </c>
    </row>
    <row r="177" spans="1:10" ht="15" x14ac:dyDescent="0.2">
      <c r="A177" s="20"/>
      <c r="B177" s="20"/>
      <c r="C177" s="202"/>
      <c r="D177" s="212" t="s">
        <v>79</v>
      </c>
      <c r="E177" s="197" t="s">
        <v>176</v>
      </c>
      <c r="F177" s="3">
        <v>20</v>
      </c>
      <c r="G177" s="204"/>
      <c r="H177" s="204"/>
      <c r="I177" s="206">
        <f>ROUND((I175+I176-I137*(1+F176%))*0.2,2)</f>
        <v>127751211.01000001</v>
      </c>
      <c r="J177" s="21"/>
    </row>
    <row r="178" spans="1:10" ht="15" x14ac:dyDescent="0.2">
      <c r="A178" s="20"/>
      <c r="B178" s="20"/>
      <c r="C178" s="202"/>
      <c r="D178" s="212" t="s">
        <v>80</v>
      </c>
      <c r="E178" s="197"/>
      <c r="F178" s="3"/>
      <c r="G178" s="204"/>
      <c r="H178" s="204"/>
      <c r="I178" s="207">
        <f>SUM(I175:I177)</f>
        <v>837855824.88</v>
      </c>
      <c r="J178" s="21"/>
    </row>
    <row r="179" spans="1:10" ht="15" x14ac:dyDescent="0.25">
      <c r="A179" s="44"/>
      <c r="B179" s="45"/>
      <c r="C179" s="46"/>
      <c r="D179" s="47"/>
      <c r="E179" s="48"/>
      <c r="F179" s="49"/>
      <c r="G179" s="50"/>
      <c r="H179" s="50"/>
      <c r="I179" s="50"/>
      <c r="J179" s="21"/>
    </row>
    <row r="180" spans="1:10" x14ac:dyDescent="0.2">
      <c r="A180" s="51"/>
      <c r="B180" s="51"/>
      <c r="C180" s="52"/>
      <c r="D180" s="52"/>
      <c r="E180" s="52"/>
      <c r="F180" s="53"/>
      <c r="G180" s="52"/>
      <c r="H180" s="54"/>
      <c r="I180" s="54"/>
    </row>
    <row r="181" spans="1:10" x14ac:dyDescent="0.2">
      <c r="A181" s="51"/>
      <c r="B181" s="51"/>
      <c r="C181" s="52"/>
      <c r="D181" s="52"/>
      <c r="E181" s="52"/>
      <c r="F181" s="53"/>
      <c r="G181" s="52"/>
      <c r="H181" s="54"/>
      <c r="I181" s="54">
        <f>I120+I153+I154+I156+I158+I173+I176+I177</f>
        <v>340246199.26999998</v>
      </c>
    </row>
    <row r="182" spans="1:10" ht="15" x14ac:dyDescent="0.25">
      <c r="A182" s="51"/>
      <c r="B182" s="51"/>
      <c r="C182" s="52"/>
      <c r="D182" s="145" t="s">
        <v>289</v>
      </c>
      <c r="E182" s="52"/>
      <c r="F182" s="53"/>
      <c r="G182" s="52"/>
      <c r="H182" s="52"/>
      <c r="I182" s="52"/>
    </row>
    <row r="183" spans="1:10" ht="90.75" customHeight="1" x14ac:dyDescent="0.25">
      <c r="A183" s="51"/>
      <c r="B183" s="51"/>
      <c r="C183" s="146" t="s">
        <v>291</v>
      </c>
      <c r="D183" s="145" t="s">
        <v>290</v>
      </c>
      <c r="E183" s="52"/>
      <c r="F183" s="53"/>
      <c r="G183" s="52"/>
      <c r="H183" s="52"/>
      <c r="I183" s="52"/>
    </row>
    <row r="184" spans="1:10" ht="17.25" customHeight="1" x14ac:dyDescent="0.2">
      <c r="A184" s="51"/>
      <c r="B184" s="51"/>
      <c r="C184" s="52"/>
      <c r="D184" s="144" t="s">
        <v>294</v>
      </c>
      <c r="E184" s="52"/>
      <c r="F184" s="53"/>
      <c r="G184" s="52"/>
      <c r="H184" s="52" t="s">
        <v>311</v>
      </c>
      <c r="I184" s="54">
        <f>SUM(I19:I110)</f>
        <v>69050679.290000007</v>
      </c>
    </row>
    <row r="185" spans="1:10" ht="15" x14ac:dyDescent="0.25">
      <c r="C185" s="146" t="s">
        <v>292</v>
      </c>
      <c r="D185" s="145" t="s">
        <v>293</v>
      </c>
      <c r="H185" s="22" t="s">
        <v>312</v>
      </c>
      <c r="I185" s="21">
        <f>SUM(I140:I152)</f>
        <v>66811651.619999997</v>
      </c>
    </row>
    <row r="186" spans="1:10" ht="16.5" customHeight="1" x14ac:dyDescent="0.2">
      <c r="C186" s="52"/>
      <c r="D186" s="144" t="s">
        <v>295</v>
      </c>
      <c r="H186" s="22" t="s">
        <v>313</v>
      </c>
      <c r="I186" s="21">
        <f>SUM(I156+I158+I173+I176)</f>
        <v>67666559.5</v>
      </c>
    </row>
    <row r="188" spans="1:10" x14ac:dyDescent="0.2">
      <c r="I188" s="21">
        <f>I184+I185+I186</f>
        <v>203528890.41</v>
      </c>
    </row>
    <row r="193" spans="9:9" x14ac:dyDescent="0.2">
      <c r="I193" s="228"/>
    </row>
  </sheetData>
  <mergeCells count="29">
    <mergeCell ref="B43:B72"/>
    <mergeCell ref="A43:A72"/>
    <mergeCell ref="A73:A91"/>
    <mergeCell ref="B73:B91"/>
    <mergeCell ref="A92:A110"/>
    <mergeCell ref="B92:B110"/>
    <mergeCell ref="A3:A6"/>
    <mergeCell ref="B3:B6"/>
    <mergeCell ref="A7:A10"/>
    <mergeCell ref="A11:A14"/>
    <mergeCell ref="D172:F172"/>
    <mergeCell ref="C19:C24"/>
    <mergeCell ref="C25:C29"/>
    <mergeCell ref="D164:F164"/>
    <mergeCell ref="C73:C90"/>
    <mergeCell ref="C92:C100"/>
    <mergeCell ref="C102:C106"/>
    <mergeCell ref="C108:C110"/>
    <mergeCell ref="C31:C36"/>
    <mergeCell ref="C43:C71"/>
    <mergeCell ref="C37:C41"/>
    <mergeCell ref="B31:B42"/>
    <mergeCell ref="A31:A42"/>
    <mergeCell ref="A19:A30"/>
    <mergeCell ref="B7:B10"/>
    <mergeCell ref="B11:B14"/>
    <mergeCell ref="B15:B18"/>
    <mergeCell ref="B19:B30"/>
    <mergeCell ref="A15:A18"/>
  </mergeCells>
  <phoneticPr fontId="6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2"/>
  <sheetViews>
    <sheetView topLeftCell="A64" zoomScale="70" zoomScaleNormal="70" workbookViewId="0">
      <selection activeCell="J80" sqref="J80"/>
    </sheetView>
  </sheetViews>
  <sheetFormatPr defaultColWidth="8.85546875" defaultRowHeight="14.25" x14ac:dyDescent="0.2"/>
  <cols>
    <col min="1" max="1" width="5.140625" style="69" customWidth="1"/>
    <col min="2" max="2" width="16.42578125" style="69" customWidth="1"/>
    <col min="3" max="3" width="26.42578125" style="70" customWidth="1"/>
    <col min="4" max="4" width="50.85546875" style="70" customWidth="1"/>
    <col min="5" max="5" width="12.42578125" style="70" bestFit="1" customWidth="1"/>
    <col min="6" max="6" width="14.42578125" style="71" bestFit="1" customWidth="1"/>
    <col min="7" max="7" width="17.28515625" style="70" customWidth="1"/>
    <col min="8" max="8" width="19.42578125" style="70" customWidth="1"/>
    <col min="9" max="9" width="21.85546875" style="70" customWidth="1"/>
    <col min="10" max="10" width="20.28515625" style="70" customWidth="1"/>
    <col min="11" max="11" width="20.140625" style="70" bestFit="1" customWidth="1"/>
    <col min="12" max="13" width="15.85546875" style="70" bestFit="1" customWidth="1"/>
    <col min="14" max="16384" width="8.85546875" style="70"/>
  </cols>
  <sheetData>
    <row r="1" spans="1:15" ht="15" x14ac:dyDescent="0.25">
      <c r="A1" s="72"/>
      <c r="B1" s="73"/>
      <c r="C1" s="74"/>
      <c r="D1" s="75" t="s">
        <v>26</v>
      </c>
      <c r="E1" s="74"/>
      <c r="F1" s="76"/>
      <c r="G1" s="74"/>
      <c r="H1" s="74"/>
      <c r="I1" s="77"/>
      <c r="J1" s="187">
        <v>0.10199999999999999</v>
      </c>
      <c r="K1" s="21"/>
      <c r="L1" s="22"/>
      <c r="M1" s="22"/>
    </row>
    <row r="2" spans="1:15" ht="30.75" thickBot="1" x14ac:dyDescent="0.25">
      <c r="A2" s="78" t="s">
        <v>4</v>
      </c>
      <c r="B2" s="79" t="s">
        <v>16</v>
      </c>
      <c r="C2" s="79" t="s">
        <v>17</v>
      </c>
      <c r="D2" s="79" t="s">
        <v>3</v>
      </c>
      <c r="E2" s="79" t="s">
        <v>19</v>
      </c>
      <c r="F2" s="79" t="s">
        <v>18</v>
      </c>
      <c r="G2" s="79" t="s">
        <v>5</v>
      </c>
      <c r="H2" s="79" t="s">
        <v>14</v>
      </c>
      <c r="I2" s="80" t="s">
        <v>15</v>
      </c>
      <c r="J2" s="21"/>
      <c r="K2" s="21"/>
      <c r="L2" s="22"/>
      <c r="M2" s="22"/>
    </row>
    <row r="3" spans="1:15" x14ac:dyDescent="0.2">
      <c r="A3" s="397" t="s">
        <v>27</v>
      </c>
      <c r="B3" s="400" t="s">
        <v>220</v>
      </c>
      <c r="C3" s="81" t="s">
        <v>24</v>
      </c>
      <c r="D3" s="81" t="s">
        <v>277</v>
      </c>
      <c r="E3" s="152" t="s">
        <v>25</v>
      </c>
      <c r="F3" s="82">
        <v>121</v>
      </c>
      <c r="G3" s="173">
        <v>874095.08</v>
      </c>
      <c r="H3" s="174">
        <f>G3*F3</f>
        <v>105765504.67999999</v>
      </c>
      <c r="I3" s="175">
        <f>H3</f>
        <v>105765504.67999999</v>
      </c>
      <c r="J3" s="21"/>
      <c r="K3" s="21"/>
      <c r="L3" s="22"/>
      <c r="M3" s="22"/>
    </row>
    <row r="4" spans="1:15" x14ac:dyDescent="0.2">
      <c r="A4" s="398"/>
      <c r="B4" s="401"/>
      <c r="C4" s="84" t="s">
        <v>8</v>
      </c>
      <c r="D4" s="84" t="s">
        <v>278</v>
      </c>
      <c r="E4" s="153" t="s">
        <v>25</v>
      </c>
      <c r="F4" s="85">
        <v>121</v>
      </c>
      <c r="G4" s="176">
        <v>83523.64</v>
      </c>
      <c r="H4" s="167">
        <f t="shared" ref="H4:H30" si="0">G4*F4</f>
        <v>10106360.439999999</v>
      </c>
      <c r="I4" s="168">
        <f t="shared" ref="I4:I5" si="1">H4</f>
        <v>10106360.439999999</v>
      </c>
      <c r="J4" s="21"/>
      <c r="K4" s="21"/>
      <c r="L4" s="22"/>
      <c r="M4" s="22"/>
    </row>
    <row r="5" spans="1:15" x14ac:dyDescent="0.2">
      <c r="A5" s="398"/>
      <c r="B5" s="401"/>
      <c r="C5" s="108" t="s">
        <v>39</v>
      </c>
      <c r="D5" s="118" t="s">
        <v>279</v>
      </c>
      <c r="E5" s="153" t="s">
        <v>25</v>
      </c>
      <c r="F5" s="85">
        <v>121</v>
      </c>
      <c r="G5" s="176">
        <v>442743.02</v>
      </c>
      <c r="H5" s="225">
        <f t="shared" si="0"/>
        <v>53571905.420000002</v>
      </c>
      <c r="I5" s="168">
        <f t="shared" si="1"/>
        <v>53571905.420000002</v>
      </c>
      <c r="J5" s="21">
        <f>SUM(I3:I5)</f>
        <v>169443770.53999999</v>
      </c>
      <c r="K5" s="21"/>
      <c r="L5" s="21"/>
      <c r="M5" s="22"/>
    </row>
    <row r="6" spans="1:15" s="22" customFormat="1" ht="15" thickBot="1" x14ac:dyDescent="0.25">
      <c r="A6" s="399"/>
      <c r="B6" s="402"/>
      <c r="C6" s="31" t="s">
        <v>297</v>
      </c>
      <c r="D6" s="148" t="s">
        <v>309</v>
      </c>
      <c r="E6" s="154" t="s">
        <v>25</v>
      </c>
      <c r="F6" s="33">
        <v>121</v>
      </c>
      <c r="G6" s="177">
        <v>142836.9</v>
      </c>
      <c r="H6" s="167">
        <f t="shared" si="0"/>
        <v>17283264.899999999</v>
      </c>
      <c r="I6" s="168">
        <f t="shared" ref="I6" si="2">H6</f>
        <v>17283264.899999999</v>
      </c>
      <c r="J6" s="21"/>
      <c r="K6" s="158">
        <f>ROUND(J5*$J$1/F6,2)</f>
        <v>142836.9</v>
      </c>
      <c r="L6" s="158">
        <f>K6*F6</f>
        <v>17283264.899999999</v>
      </c>
      <c r="M6" s="21">
        <v>7876455.4000000004</v>
      </c>
      <c r="N6" s="158"/>
      <c r="O6" s="21"/>
    </row>
    <row r="7" spans="1:15" x14ac:dyDescent="0.2">
      <c r="A7" s="409" t="s">
        <v>28</v>
      </c>
      <c r="B7" s="410" t="s">
        <v>221</v>
      </c>
      <c r="C7" s="81" t="s">
        <v>24</v>
      </c>
      <c r="D7" s="81" t="s">
        <v>280</v>
      </c>
      <c r="E7" s="152" t="s">
        <v>25</v>
      </c>
      <c r="F7" s="82">
        <v>567</v>
      </c>
      <c r="G7" s="173">
        <v>145790.71</v>
      </c>
      <c r="H7" s="174">
        <f t="shared" si="0"/>
        <v>82663332.569999993</v>
      </c>
      <c r="I7" s="175">
        <f>H7</f>
        <v>82663332.569999993</v>
      </c>
      <c r="J7" s="21"/>
      <c r="K7" s="21"/>
      <c r="L7" s="22"/>
      <c r="M7" s="22"/>
    </row>
    <row r="8" spans="1:15" x14ac:dyDescent="0.2">
      <c r="A8" s="403"/>
      <c r="B8" s="406"/>
      <c r="C8" s="84" t="s">
        <v>8</v>
      </c>
      <c r="D8" s="84" t="s">
        <v>278</v>
      </c>
      <c r="E8" s="153" t="s">
        <v>25</v>
      </c>
      <c r="F8" s="85">
        <v>63</v>
      </c>
      <c r="G8" s="176">
        <v>83523.64</v>
      </c>
      <c r="H8" s="167">
        <f t="shared" si="0"/>
        <v>5261989.32</v>
      </c>
      <c r="I8" s="168">
        <f t="shared" ref="I8:I30" si="3">H8</f>
        <v>5261989.32</v>
      </c>
      <c r="J8" s="21"/>
      <c r="K8" s="21"/>
      <c r="L8" s="22"/>
      <c r="M8" s="22"/>
    </row>
    <row r="9" spans="1:15" x14ac:dyDescent="0.2">
      <c r="A9" s="404"/>
      <c r="B9" s="407"/>
      <c r="C9" s="108" t="s">
        <v>39</v>
      </c>
      <c r="D9" s="118" t="s">
        <v>279</v>
      </c>
      <c r="E9" s="153" t="s">
        <v>25</v>
      </c>
      <c r="F9" s="85">
        <v>63</v>
      </c>
      <c r="G9" s="176">
        <v>442743.02</v>
      </c>
      <c r="H9" s="167">
        <f t="shared" si="0"/>
        <v>27892810.260000002</v>
      </c>
      <c r="I9" s="168">
        <f t="shared" ref="I9:I10" si="4">H9</f>
        <v>27892810.260000002</v>
      </c>
      <c r="J9" s="21">
        <f>SUM(I7:I9)</f>
        <v>115818132.14999999</v>
      </c>
      <c r="K9" s="21"/>
      <c r="L9" s="21"/>
      <c r="M9" s="22"/>
    </row>
    <row r="10" spans="1:15" ht="15" thickBot="1" x14ac:dyDescent="0.25">
      <c r="A10" s="394"/>
      <c r="B10" s="408"/>
      <c r="C10" s="31" t="s">
        <v>297</v>
      </c>
      <c r="D10" s="148" t="s">
        <v>309</v>
      </c>
      <c r="E10" s="154"/>
      <c r="F10" s="33">
        <f>F9</f>
        <v>63</v>
      </c>
      <c r="G10" s="177">
        <v>187515.07</v>
      </c>
      <c r="H10" s="167">
        <f t="shared" si="0"/>
        <v>11813449.41</v>
      </c>
      <c r="I10" s="168">
        <f t="shared" si="4"/>
        <v>11813449.41</v>
      </c>
      <c r="J10" s="21"/>
      <c r="K10" s="158">
        <f>ROUND(J9*$J$1/F10,2)</f>
        <v>187515.07</v>
      </c>
      <c r="L10" s="158">
        <f>K10*F10</f>
        <v>11813449.41</v>
      </c>
      <c r="M10" s="21">
        <v>4550990.22</v>
      </c>
    </row>
    <row r="11" spans="1:15" x14ac:dyDescent="0.2">
      <c r="A11" s="393" t="s">
        <v>29</v>
      </c>
      <c r="B11" s="405" t="s">
        <v>222</v>
      </c>
      <c r="C11" s="81" t="s">
        <v>24</v>
      </c>
      <c r="D11" s="81" t="s">
        <v>281</v>
      </c>
      <c r="E11" s="152" t="s">
        <v>25</v>
      </c>
      <c r="F11" s="82">
        <v>30</v>
      </c>
      <c r="G11" s="173">
        <v>279478.99</v>
      </c>
      <c r="H11" s="174">
        <f t="shared" si="0"/>
        <v>8384369.6999999993</v>
      </c>
      <c r="I11" s="175">
        <f>H11</f>
        <v>8384369.6999999993</v>
      </c>
      <c r="J11" s="21"/>
      <c r="K11" s="21"/>
      <c r="L11" s="22"/>
      <c r="M11" s="22"/>
    </row>
    <row r="12" spans="1:15" x14ac:dyDescent="0.2">
      <c r="A12" s="403"/>
      <c r="B12" s="406"/>
      <c r="C12" s="84" t="s">
        <v>8</v>
      </c>
      <c r="D12" s="84" t="s">
        <v>278</v>
      </c>
      <c r="E12" s="153" t="s">
        <v>25</v>
      </c>
      <c r="F12" s="85">
        <v>30</v>
      </c>
      <c r="G12" s="176">
        <v>83523.64</v>
      </c>
      <c r="H12" s="167">
        <f t="shared" si="0"/>
        <v>2505709.2000000002</v>
      </c>
      <c r="I12" s="168">
        <f t="shared" si="3"/>
        <v>2505709.2000000002</v>
      </c>
      <c r="J12" s="21"/>
      <c r="K12" s="21"/>
      <c r="L12" s="22"/>
      <c r="M12" s="22"/>
    </row>
    <row r="13" spans="1:15" x14ac:dyDescent="0.2">
      <c r="A13" s="404"/>
      <c r="B13" s="407"/>
      <c r="C13" s="108" t="s">
        <v>39</v>
      </c>
      <c r="D13" s="118" t="s">
        <v>279</v>
      </c>
      <c r="E13" s="153" t="s">
        <v>25</v>
      </c>
      <c r="F13" s="85">
        <v>30</v>
      </c>
      <c r="G13" s="176">
        <v>442743.02</v>
      </c>
      <c r="H13" s="167">
        <f t="shared" si="0"/>
        <v>13282290.600000001</v>
      </c>
      <c r="I13" s="168">
        <f t="shared" ref="I13:I14" si="5">H13</f>
        <v>13282290.600000001</v>
      </c>
      <c r="J13" s="21">
        <f>SUM(I11:I13)</f>
        <v>24172369.5</v>
      </c>
      <c r="K13" s="21"/>
      <c r="L13" s="21"/>
      <c r="M13" s="22"/>
    </row>
    <row r="14" spans="1:15" ht="15" thickBot="1" x14ac:dyDescent="0.25">
      <c r="A14" s="404"/>
      <c r="B14" s="408"/>
      <c r="C14" s="31" t="s">
        <v>297</v>
      </c>
      <c r="D14" s="148" t="s">
        <v>309</v>
      </c>
      <c r="E14" s="154"/>
      <c r="F14" s="33">
        <f>F13</f>
        <v>30</v>
      </c>
      <c r="G14" s="177">
        <v>82186.06</v>
      </c>
      <c r="H14" s="167">
        <f t="shared" si="0"/>
        <v>2465581.7999999998</v>
      </c>
      <c r="I14" s="168">
        <f t="shared" si="5"/>
        <v>2465581.7999999998</v>
      </c>
      <c r="J14" s="21"/>
      <c r="K14" s="158">
        <f>ROUND(J13*$J$1/F14,2)</f>
        <v>82186.06</v>
      </c>
      <c r="L14" s="158">
        <f>K14*F14</f>
        <v>2465581.7999999998</v>
      </c>
      <c r="M14" s="21">
        <v>1220639.1000000001</v>
      </c>
    </row>
    <row r="15" spans="1:15" x14ac:dyDescent="0.2">
      <c r="A15" s="393" t="s">
        <v>30</v>
      </c>
      <c r="B15" s="405" t="s">
        <v>223</v>
      </c>
      <c r="C15" s="81" t="s">
        <v>24</v>
      </c>
      <c r="D15" s="81" t="s">
        <v>282</v>
      </c>
      <c r="E15" s="152" t="s">
        <v>25</v>
      </c>
      <c r="F15" s="82">
        <v>32</v>
      </c>
      <c r="G15" s="173">
        <v>748378.83</v>
      </c>
      <c r="H15" s="174">
        <f t="shared" si="0"/>
        <v>23948122.559999999</v>
      </c>
      <c r="I15" s="175">
        <f>H15</f>
        <v>23948122.559999999</v>
      </c>
      <c r="J15" s="21"/>
      <c r="K15" s="21"/>
      <c r="L15" s="22"/>
      <c r="M15" s="22"/>
    </row>
    <row r="16" spans="1:15" x14ac:dyDescent="0.2">
      <c r="A16" s="403"/>
      <c r="B16" s="406"/>
      <c r="C16" s="84" t="s">
        <v>8</v>
      </c>
      <c r="D16" s="84" t="s">
        <v>278</v>
      </c>
      <c r="E16" s="153" t="s">
        <v>25</v>
      </c>
      <c r="F16" s="85">
        <v>32</v>
      </c>
      <c r="G16" s="176">
        <v>83523.64</v>
      </c>
      <c r="H16" s="167">
        <f t="shared" si="0"/>
        <v>2672756.48</v>
      </c>
      <c r="I16" s="168">
        <f t="shared" si="3"/>
        <v>2672756.48</v>
      </c>
      <c r="J16" s="21"/>
      <c r="K16" s="21"/>
      <c r="L16" s="22"/>
      <c r="M16" s="22"/>
    </row>
    <row r="17" spans="1:13" x14ac:dyDescent="0.2">
      <c r="A17" s="404"/>
      <c r="B17" s="407"/>
      <c r="C17" s="108" t="s">
        <v>39</v>
      </c>
      <c r="D17" s="118" t="s">
        <v>279</v>
      </c>
      <c r="E17" s="153" t="s">
        <v>25</v>
      </c>
      <c r="F17" s="85">
        <v>32</v>
      </c>
      <c r="G17" s="176">
        <v>442743.02</v>
      </c>
      <c r="H17" s="167">
        <f t="shared" si="0"/>
        <v>14167776.640000001</v>
      </c>
      <c r="I17" s="168">
        <f t="shared" ref="I17:I18" si="6">H17</f>
        <v>14167776.640000001</v>
      </c>
      <c r="J17" s="21">
        <f>SUM(I15:I17)</f>
        <v>40788655.68</v>
      </c>
      <c r="K17" s="21"/>
      <c r="L17" s="21"/>
      <c r="M17" s="22"/>
    </row>
    <row r="18" spans="1:13" ht="15" thickBot="1" x14ac:dyDescent="0.25">
      <c r="A18" s="394"/>
      <c r="B18" s="408"/>
      <c r="C18" s="31" t="s">
        <v>297</v>
      </c>
      <c r="D18" s="148" t="s">
        <v>309</v>
      </c>
      <c r="E18" s="154"/>
      <c r="F18" s="33">
        <v>32</v>
      </c>
      <c r="G18" s="177">
        <v>130013.84</v>
      </c>
      <c r="H18" s="167">
        <f t="shared" si="0"/>
        <v>4160442.88</v>
      </c>
      <c r="I18" s="168">
        <f t="shared" si="6"/>
        <v>4160442.88</v>
      </c>
      <c r="J18" s="21"/>
      <c r="K18" s="158">
        <f>ROUND(J17*$J$1/F18,2)</f>
        <v>130013.84</v>
      </c>
      <c r="L18" s="158">
        <f>K18*F18</f>
        <v>4160442.88</v>
      </c>
      <c r="M18" s="21">
        <v>1139770.94</v>
      </c>
    </row>
    <row r="19" spans="1:13" s="8" customFormat="1" x14ac:dyDescent="0.2">
      <c r="A19" s="369" t="s">
        <v>31</v>
      </c>
      <c r="B19" s="386" t="s">
        <v>6</v>
      </c>
      <c r="C19" s="155" t="s">
        <v>0</v>
      </c>
      <c r="D19" s="81" t="s">
        <v>283</v>
      </c>
      <c r="E19" s="149" t="s">
        <v>25</v>
      </c>
      <c r="F19" s="12">
        <v>24</v>
      </c>
      <c r="G19" s="171">
        <v>432089.24</v>
      </c>
      <c r="H19" s="171">
        <f t="shared" si="0"/>
        <v>10370141.76</v>
      </c>
      <c r="I19" s="172">
        <f t="shared" si="3"/>
        <v>10370141.76</v>
      </c>
      <c r="J19" s="21"/>
      <c r="K19" s="21"/>
      <c r="L19" s="136">
        <f>SUM(L6:L18)</f>
        <v>35722738.990000002</v>
      </c>
      <c r="M19" s="136">
        <f>SUM(M6:M18)</f>
        <v>14787855.66</v>
      </c>
    </row>
    <row r="20" spans="1:13" s="8" customFormat="1" ht="28.5" x14ac:dyDescent="0.2">
      <c r="A20" s="391"/>
      <c r="B20" s="392"/>
      <c r="C20" s="156" t="s">
        <v>1</v>
      </c>
      <c r="D20" s="163" t="s">
        <v>284</v>
      </c>
      <c r="E20" s="150" t="s">
        <v>25</v>
      </c>
      <c r="F20" s="6">
        <v>6</v>
      </c>
      <c r="G20" s="169">
        <v>530742.81000000006</v>
      </c>
      <c r="H20" s="169">
        <f t="shared" si="0"/>
        <v>3184456.8600000003</v>
      </c>
      <c r="I20" s="170">
        <f t="shared" ref="I20:I21" si="7">H20</f>
        <v>3184456.8600000003</v>
      </c>
      <c r="J20" s="134"/>
      <c r="K20" s="134"/>
    </row>
    <row r="21" spans="1:13" s="8" customFormat="1" ht="15" thickBot="1" x14ac:dyDescent="0.25">
      <c r="A21" s="371"/>
      <c r="B21" s="388"/>
      <c r="C21" s="31" t="s">
        <v>297</v>
      </c>
      <c r="D21" s="32" t="s">
        <v>298</v>
      </c>
      <c r="E21" s="151"/>
      <c r="F21" s="33">
        <f>F20</f>
        <v>6</v>
      </c>
      <c r="G21" s="177">
        <v>700644.78</v>
      </c>
      <c r="H21" s="167">
        <f t="shared" si="0"/>
        <v>4203868.68</v>
      </c>
      <c r="I21" s="168">
        <f t="shared" si="7"/>
        <v>4203868.68</v>
      </c>
      <c r="K21" s="136"/>
    </row>
    <row r="22" spans="1:13" s="8" customFormat="1" x14ac:dyDescent="0.2">
      <c r="A22" s="369" t="s">
        <v>32</v>
      </c>
      <c r="B22" s="386" t="s">
        <v>7</v>
      </c>
      <c r="C22" s="155" t="s">
        <v>0</v>
      </c>
      <c r="D22" s="81" t="s">
        <v>285</v>
      </c>
      <c r="E22" s="149" t="s">
        <v>25</v>
      </c>
      <c r="F22" s="12">
        <v>24</v>
      </c>
      <c r="G22" s="171">
        <v>429071.07999999996</v>
      </c>
      <c r="H22" s="171">
        <f t="shared" si="0"/>
        <v>10297705.919999998</v>
      </c>
      <c r="I22" s="172">
        <f t="shared" si="3"/>
        <v>10297705.919999998</v>
      </c>
    </row>
    <row r="23" spans="1:13" s="8" customFormat="1" ht="28.5" x14ac:dyDescent="0.2">
      <c r="A23" s="370"/>
      <c r="B23" s="387"/>
      <c r="C23" s="156" t="s">
        <v>1</v>
      </c>
      <c r="D23" s="163" t="s">
        <v>284</v>
      </c>
      <c r="E23" s="150" t="s">
        <v>25</v>
      </c>
      <c r="F23" s="6">
        <v>6</v>
      </c>
      <c r="G23" s="169">
        <v>540742.81000000006</v>
      </c>
      <c r="H23" s="169">
        <f t="shared" si="0"/>
        <v>3244456.8600000003</v>
      </c>
      <c r="I23" s="170">
        <f t="shared" ref="I23:I24" si="8">H23</f>
        <v>3244456.8600000003</v>
      </c>
      <c r="J23" s="134"/>
      <c r="K23" s="134"/>
    </row>
    <row r="24" spans="1:13" s="8" customFormat="1" ht="15" thickBot="1" x14ac:dyDescent="0.25">
      <c r="A24" s="371"/>
      <c r="B24" s="388"/>
      <c r="C24" s="31" t="s">
        <v>297</v>
      </c>
      <c r="D24" s="32" t="s">
        <v>298</v>
      </c>
      <c r="E24" s="151"/>
      <c r="F24" s="33">
        <f>F23</f>
        <v>6</v>
      </c>
      <c r="G24" s="177">
        <v>700038.37</v>
      </c>
      <c r="H24" s="167">
        <f t="shared" si="0"/>
        <v>4200230.22</v>
      </c>
      <c r="I24" s="168">
        <f t="shared" si="8"/>
        <v>4200230.22</v>
      </c>
    </row>
    <row r="25" spans="1:13" s="8" customFormat="1" ht="42.75" x14ac:dyDescent="0.2">
      <c r="A25" s="393" t="s">
        <v>33</v>
      </c>
      <c r="B25" s="395" t="s">
        <v>40</v>
      </c>
      <c r="C25" s="164" t="s">
        <v>9</v>
      </c>
      <c r="D25" s="81" t="s">
        <v>286</v>
      </c>
      <c r="E25" s="149" t="s">
        <v>25</v>
      </c>
      <c r="F25" s="12">
        <v>3</v>
      </c>
      <c r="G25" s="171">
        <v>7279260.5700000003</v>
      </c>
      <c r="H25" s="171">
        <f t="shared" si="0"/>
        <v>21837781.710000001</v>
      </c>
      <c r="I25" s="172">
        <f t="shared" si="3"/>
        <v>21837781.710000001</v>
      </c>
      <c r="J25" s="134"/>
      <c r="K25" s="134"/>
    </row>
    <row r="26" spans="1:13" s="8" customFormat="1" ht="15" thickBot="1" x14ac:dyDescent="0.25">
      <c r="A26" s="394"/>
      <c r="B26" s="396"/>
      <c r="C26" s="31" t="s">
        <v>297</v>
      </c>
      <c r="D26" s="32" t="s">
        <v>298</v>
      </c>
      <c r="E26" s="151"/>
      <c r="F26" s="33">
        <f>F25</f>
        <v>3</v>
      </c>
      <c r="G26" s="177">
        <v>1312501.8500000001</v>
      </c>
      <c r="H26" s="167">
        <f t="shared" si="0"/>
        <v>3937505.5500000003</v>
      </c>
      <c r="I26" s="168">
        <f t="shared" si="3"/>
        <v>3937505.5500000003</v>
      </c>
    </row>
    <row r="27" spans="1:13" s="8" customFormat="1" ht="57" x14ac:dyDescent="0.2">
      <c r="A27" s="393" t="s">
        <v>34</v>
      </c>
      <c r="B27" s="395" t="s">
        <v>2</v>
      </c>
      <c r="C27" s="164" t="s">
        <v>2</v>
      </c>
      <c r="D27" s="81" t="s">
        <v>287</v>
      </c>
      <c r="E27" s="149" t="s">
        <v>25</v>
      </c>
      <c r="F27" s="12">
        <v>1</v>
      </c>
      <c r="G27" s="171">
        <v>745020.42</v>
      </c>
      <c r="H27" s="171">
        <f t="shared" si="0"/>
        <v>745020.42</v>
      </c>
      <c r="I27" s="172">
        <f t="shared" si="3"/>
        <v>745020.42</v>
      </c>
      <c r="J27" s="134"/>
      <c r="K27" s="134"/>
    </row>
    <row r="28" spans="1:13" s="8" customFormat="1" ht="15" thickBot="1" x14ac:dyDescent="0.25">
      <c r="A28" s="394"/>
      <c r="B28" s="396"/>
      <c r="C28" s="31" t="s">
        <v>297</v>
      </c>
      <c r="D28" s="32" t="s">
        <v>298</v>
      </c>
      <c r="E28" s="151"/>
      <c r="F28" s="33">
        <f>F27</f>
        <v>1</v>
      </c>
      <c r="G28" s="177">
        <v>289933.88</v>
      </c>
      <c r="H28" s="167">
        <f t="shared" si="0"/>
        <v>289933.88</v>
      </c>
      <c r="I28" s="168">
        <f t="shared" si="3"/>
        <v>289933.88</v>
      </c>
    </row>
    <row r="29" spans="1:13" s="8" customFormat="1" ht="57" x14ac:dyDescent="0.2">
      <c r="A29" s="393" t="s">
        <v>37</v>
      </c>
      <c r="B29" s="395" t="s">
        <v>10</v>
      </c>
      <c r="C29" s="164" t="s">
        <v>224</v>
      </c>
      <c r="D29" s="81" t="s">
        <v>288</v>
      </c>
      <c r="E29" s="149" t="s">
        <v>25</v>
      </c>
      <c r="F29" s="12">
        <v>2</v>
      </c>
      <c r="G29" s="13">
        <v>5867195.7199999997</v>
      </c>
      <c r="H29" s="165">
        <f t="shared" si="0"/>
        <v>11734391.439999999</v>
      </c>
      <c r="I29" s="166">
        <f t="shared" si="3"/>
        <v>11734391.439999999</v>
      </c>
      <c r="J29" s="134"/>
      <c r="K29" s="134"/>
    </row>
    <row r="30" spans="1:13" s="8" customFormat="1" ht="15" thickBot="1" x14ac:dyDescent="0.25">
      <c r="A30" s="394"/>
      <c r="B30" s="396"/>
      <c r="C30" s="31" t="s">
        <v>297</v>
      </c>
      <c r="D30" s="32" t="s">
        <v>298</v>
      </c>
      <c r="E30" s="151"/>
      <c r="F30" s="33">
        <f>F29</f>
        <v>2</v>
      </c>
      <c r="G30" s="59">
        <v>1494709.24</v>
      </c>
      <c r="H30" s="88">
        <f t="shared" si="0"/>
        <v>2989418.48</v>
      </c>
      <c r="I30" s="89">
        <f t="shared" si="3"/>
        <v>2989418.48</v>
      </c>
      <c r="J30" s="136"/>
    </row>
    <row r="31" spans="1:13" ht="15" x14ac:dyDescent="0.25">
      <c r="A31" s="90"/>
      <c r="B31" s="91"/>
      <c r="C31" s="92"/>
      <c r="D31" s="93" t="s">
        <v>42</v>
      </c>
      <c r="E31" s="94"/>
      <c r="F31" s="95"/>
      <c r="G31" s="96"/>
      <c r="H31" s="96"/>
      <c r="I31" s="97">
        <f>SUM(I3:I30)</f>
        <v>462980578.6400001</v>
      </c>
      <c r="J31" s="134">
        <f>I31</f>
        <v>462980578.6400001</v>
      </c>
      <c r="K31" s="134">
        <f>Калькуляция!I111</f>
        <v>429658617.23000014</v>
      </c>
      <c r="L31" s="134">
        <f>(J31-K31)/K31</f>
        <v>7.7554505073879204E-2</v>
      </c>
    </row>
    <row r="32" spans="1:13" ht="15" x14ac:dyDescent="0.25">
      <c r="A32" s="98"/>
      <c r="B32" s="62"/>
      <c r="C32" s="99"/>
      <c r="D32" s="100" t="s">
        <v>35</v>
      </c>
      <c r="E32" s="63"/>
      <c r="F32" s="64"/>
      <c r="G32" s="86"/>
      <c r="H32" s="86"/>
      <c r="I32" s="87"/>
    </row>
    <row r="33" spans="1:10" ht="30" x14ac:dyDescent="0.2">
      <c r="A33" s="101" t="s">
        <v>4</v>
      </c>
      <c r="B33" s="60" t="s">
        <v>16</v>
      </c>
      <c r="C33" s="60" t="s">
        <v>17</v>
      </c>
      <c r="D33" s="60" t="s">
        <v>3</v>
      </c>
      <c r="E33" s="60" t="s">
        <v>19</v>
      </c>
      <c r="F33" s="60" t="s">
        <v>18</v>
      </c>
      <c r="G33" s="60" t="s">
        <v>5</v>
      </c>
      <c r="H33" s="60" t="s">
        <v>14</v>
      </c>
      <c r="I33" s="102" t="s">
        <v>15</v>
      </c>
    </row>
    <row r="34" spans="1:10" ht="15" x14ac:dyDescent="0.25">
      <c r="A34" s="98"/>
      <c r="B34" s="62"/>
      <c r="C34" s="99"/>
      <c r="D34" s="100"/>
      <c r="E34" s="56" t="s">
        <v>25</v>
      </c>
      <c r="F34" s="64"/>
      <c r="G34" s="86"/>
      <c r="H34" s="86"/>
      <c r="I34" s="87"/>
    </row>
    <row r="35" spans="1:10" ht="30" x14ac:dyDescent="0.25">
      <c r="A35" s="98"/>
      <c r="B35" s="62"/>
      <c r="C35" s="99"/>
      <c r="D35" s="100" t="s">
        <v>88</v>
      </c>
      <c r="E35" s="63"/>
      <c r="F35" s="64"/>
      <c r="G35" s="86"/>
      <c r="H35" s="86"/>
      <c r="I35" s="87"/>
    </row>
    <row r="36" spans="1:10" ht="30" x14ac:dyDescent="0.2">
      <c r="A36" s="101" t="s">
        <v>4</v>
      </c>
      <c r="B36" s="60" t="s">
        <v>16</v>
      </c>
      <c r="C36" s="60" t="s">
        <v>17</v>
      </c>
      <c r="D36" s="60" t="s">
        <v>3</v>
      </c>
      <c r="E36" s="60" t="s">
        <v>19</v>
      </c>
      <c r="F36" s="60" t="s">
        <v>18</v>
      </c>
      <c r="G36" s="60" t="s">
        <v>5</v>
      </c>
      <c r="H36" s="60" t="s">
        <v>14</v>
      </c>
      <c r="I36" s="102" t="s">
        <v>15</v>
      </c>
    </row>
    <row r="37" spans="1:10" ht="42.75" x14ac:dyDescent="0.2">
      <c r="A37" s="101">
        <v>1</v>
      </c>
      <c r="B37" s="103" t="s">
        <v>225</v>
      </c>
      <c r="C37" s="103" t="s">
        <v>225</v>
      </c>
      <c r="D37" s="104" t="s">
        <v>226</v>
      </c>
      <c r="E37" s="56" t="s">
        <v>25</v>
      </c>
      <c r="F37" s="85">
        <v>5</v>
      </c>
      <c r="G37" s="86">
        <v>6609880.8799999999</v>
      </c>
      <c r="H37" s="86">
        <f>G37*F37</f>
        <v>33049404.399999999</v>
      </c>
      <c r="I37" s="87">
        <f t="shared" ref="I37" si="9">H37</f>
        <v>33049404.399999999</v>
      </c>
    </row>
    <row r="38" spans="1:10" ht="42.75" x14ac:dyDescent="0.2">
      <c r="A38" s="98" t="s">
        <v>28</v>
      </c>
      <c r="B38" s="103" t="s">
        <v>227</v>
      </c>
      <c r="C38" s="103" t="s">
        <v>227</v>
      </c>
      <c r="D38" s="104" t="s">
        <v>226</v>
      </c>
      <c r="E38" s="56" t="s">
        <v>25</v>
      </c>
      <c r="F38" s="64">
        <v>5</v>
      </c>
      <c r="G38" s="86">
        <v>4603862.41</v>
      </c>
      <c r="H38" s="86">
        <f>G38*F38</f>
        <v>23019312.050000001</v>
      </c>
      <c r="I38" s="87">
        <f>H38</f>
        <v>23019312.050000001</v>
      </c>
    </row>
    <row r="39" spans="1:10" x14ac:dyDescent="0.2">
      <c r="A39" s="185" t="s">
        <v>29</v>
      </c>
      <c r="B39" s="103"/>
      <c r="C39" s="103"/>
      <c r="D39" s="104" t="s">
        <v>306</v>
      </c>
      <c r="E39" s="184" t="s">
        <v>25</v>
      </c>
      <c r="F39" s="64">
        <v>5</v>
      </c>
      <c r="G39" s="86">
        <v>1467586.25</v>
      </c>
      <c r="H39" s="86">
        <f>G39*F39</f>
        <v>7337931.25</v>
      </c>
      <c r="I39" s="87">
        <f>H39</f>
        <v>7337931.25</v>
      </c>
    </row>
    <row r="40" spans="1:10" ht="30" x14ac:dyDescent="0.25">
      <c r="A40" s="98"/>
      <c r="B40" s="62"/>
      <c r="C40" s="99"/>
      <c r="D40" s="100" t="s">
        <v>90</v>
      </c>
      <c r="E40" s="63"/>
      <c r="F40" s="64"/>
      <c r="G40" s="86"/>
      <c r="H40" s="86"/>
      <c r="I40" s="105">
        <f>SUM(I37:I39)</f>
        <v>63406647.700000003</v>
      </c>
      <c r="J40" s="134">
        <f>I40+J29+I57</f>
        <v>136495839.63</v>
      </c>
    </row>
    <row r="41" spans="1:10" ht="15" x14ac:dyDescent="0.25">
      <c r="A41" s="98"/>
      <c r="B41" s="62"/>
      <c r="C41" s="99"/>
      <c r="D41" s="100" t="s">
        <v>36</v>
      </c>
      <c r="E41" s="63"/>
      <c r="F41" s="64"/>
      <c r="G41" s="86"/>
      <c r="H41" s="86"/>
      <c r="I41" s="87"/>
    </row>
    <row r="42" spans="1:10" ht="30" x14ac:dyDescent="0.2">
      <c r="A42" s="101" t="s">
        <v>4</v>
      </c>
      <c r="B42" s="60" t="s">
        <v>16</v>
      </c>
      <c r="C42" s="60" t="s">
        <v>17</v>
      </c>
      <c r="D42" s="60" t="s">
        <v>3</v>
      </c>
      <c r="E42" s="60" t="s">
        <v>19</v>
      </c>
      <c r="F42" s="60" t="s">
        <v>18</v>
      </c>
      <c r="G42" s="60" t="s">
        <v>5</v>
      </c>
      <c r="H42" s="60" t="s">
        <v>14</v>
      </c>
      <c r="I42" s="102" t="s">
        <v>15</v>
      </c>
    </row>
    <row r="43" spans="1:10" ht="57" x14ac:dyDescent="0.2">
      <c r="A43" s="106">
        <v>1</v>
      </c>
      <c r="B43" s="5" t="s">
        <v>100</v>
      </c>
      <c r="C43" s="107" t="s">
        <v>87</v>
      </c>
      <c r="D43" s="107" t="s">
        <v>228</v>
      </c>
      <c r="E43" s="56" t="s">
        <v>25</v>
      </c>
      <c r="F43" s="85">
        <v>246</v>
      </c>
      <c r="G43" s="86">
        <v>44222.05</v>
      </c>
      <c r="H43" s="86">
        <f t="shared" ref="H43:H56" si="10">G43*F43</f>
        <v>10878624.300000001</v>
      </c>
      <c r="I43" s="87">
        <f t="shared" ref="I43:I56" si="11">H43</f>
        <v>10878624.300000001</v>
      </c>
      <c r="J43" s="142"/>
    </row>
    <row r="44" spans="1:10" ht="42.75" x14ac:dyDescent="0.2">
      <c r="A44" s="106">
        <v>2</v>
      </c>
      <c r="B44" s="5" t="s">
        <v>101</v>
      </c>
      <c r="C44" s="107" t="s">
        <v>87</v>
      </c>
      <c r="D44" s="107" t="s">
        <v>229</v>
      </c>
      <c r="E44" s="56" t="s">
        <v>25</v>
      </c>
      <c r="F44" s="85">
        <v>246</v>
      </c>
      <c r="G44" s="86">
        <v>29257.360000000001</v>
      </c>
      <c r="H44" s="86">
        <f t="shared" si="10"/>
        <v>7197310.5600000005</v>
      </c>
      <c r="I44" s="87">
        <f t="shared" si="11"/>
        <v>7197310.5600000005</v>
      </c>
      <c r="J44" s="142"/>
    </row>
    <row r="45" spans="1:10" ht="57" x14ac:dyDescent="0.2">
      <c r="A45" s="106">
        <v>3</v>
      </c>
      <c r="B45" s="5" t="s">
        <v>104</v>
      </c>
      <c r="C45" s="103" t="s">
        <v>82</v>
      </c>
      <c r="D45" s="108" t="s">
        <v>230</v>
      </c>
      <c r="E45" s="56" t="s">
        <v>25</v>
      </c>
      <c r="F45" s="109">
        <v>246</v>
      </c>
      <c r="G45" s="86">
        <v>9559.9699999999993</v>
      </c>
      <c r="H45" s="86">
        <f t="shared" si="10"/>
        <v>2351752.6199999996</v>
      </c>
      <c r="I45" s="87">
        <f t="shared" si="11"/>
        <v>2351752.6199999996</v>
      </c>
      <c r="J45" s="142"/>
    </row>
    <row r="46" spans="1:10" ht="57" x14ac:dyDescent="0.2">
      <c r="A46" s="106">
        <v>4</v>
      </c>
      <c r="B46" s="5" t="s">
        <v>102</v>
      </c>
      <c r="C46" s="103" t="s">
        <v>82</v>
      </c>
      <c r="D46" s="108" t="s">
        <v>231</v>
      </c>
      <c r="E46" s="56" t="s">
        <v>25</v>
      </c>
      <c r="F46" s="109">
        <v>246</v>
      </c>
      <c r="G46" s="86">
        <v>2039.12</v>
      </c>
      <c r="H46" s="86">
        <f t="shared" si="10"/>
        <v>501623.51999999996</v>
      </c>
      <c r="I46" s="87">
        <f t="shared" si="11"/>
        <v>501623.51999999996</v>
      </c>
      <c r="J46" s="142"/>
    </row>
    <row r="47" spans="1:10" ht="71.25" x14ac:dyDescent="0.2">
      <c r="A47" s="106">
        <v>5</v>
      </c>
      <c r="B47" s="5" t="s">
        <v>103</v>
      </c>
      <c r="C47" s="103" t="s">
        <v>82</v>
      </c>
      <c r="D47" s="108" t="s">
        <v>230</v>
      </c>
      <c r="E47" s="56" t="s">
        <v>25</v>
      </c>
      <c r="F47" s="109">
        <v>246</v>
      </c>
      <c r="G47" s="86">
        <v>9559.9699999999993</v>
      </c>
      <c r="H47" s="86">
        <f t="shared" si="10"/>
        <v>2351752.6199999996</v>
      </c>
      <c r="I47" s="87">
        <f t="shared" si="11"/>
        <v>2351752.6199999996</v>
      </c>
      <c r="J47" s="142"/>
    </row>
    <row r="48" spans="1:10" ht="71.25" x14ac:dyDescent="0.2">
      <c r="A48" s="106">
        <v>6</v>
      </c>
      <c r="B48" s="5" t="s">
        <v>105</v>
      </c>
      <c r="C48" s="103" t="s">
        <v>82</v>
      </c>
      <c r="D48" s="108" t="s">
        <v>231</v>
      </c>
      <c r="E48" s="56" t="s">
        <v>25</v>
      </c>
      <c r="F48" s="109">
        <v>246</v>
      </c>
      <c r="G48" s="86">
        <v>2039.12</v>
      </c>
      <c r="H48" s="86">
        <f t="shared" si="10"/>
        <v>501623.51999999996</v>
      </c>
      <c r="I48" s="87">
        <f t="shared" si="11"/>
        <v>501623.51999999996</v>
      </c>
      <c r="J48" s="142"/>
    </row>
    <row r="49" spans="1:12" ht="57" x14ac:dyDescent="0.2">
      <c r="A49" s="106">
        <v>7</v>
      </c>
      <c r="B49" s="5" t="s">
        <v>106</v>
      </c>
      <c r="C49" s="103" t="s">
        <v>82</v>
      </c>
      <c r="D49" s="108" t="s">
        <v>230</v>
      </c>
      <c r="E49" s="56" t="s">
        <v>25</v>
      </c>
      <c r="F49" s="109">
        <v>246</v>
      </c>
      <c r="G49" s="86">
        <v>9559.9699999999993</v>
      </c>
      <c r="H49" s="86">
        <f t="shared" si="10"/>
        <v>2351752.6199999996</v>
      </c>
      <c r="I49" s="87">
        <f t="shared" si="11"/>
        <v>2351752.6199999996</v>
      </c>
      <c r="J49" s="142"/>
    </row>
    <row r="50" spans="1:12" ht="57" x14ac:dyDescent="0.2">
      <c r="A50" s="106">
        <v>8</v>
      </c>
      <c r="B50" s="5" t="s">
        <v>107</v>
      </c>
      <c r="C50" s="103" t="s">
        <v>82</v>
      </c>
      <c r="D50" s="108" t="s">
        <v>231</v>
      </c>
      <c r="E50" s="56" t="s">
        <v>25</v>
      </c>
      <c r="F50" s="109">
        <v>246</v>
      </c>
      <c r="G50" s="86">
        <v>2039.12</v>
      </c>
      <c r="H50" s="86">
        <f t="shared" si="10"/>
        <v>501623.51999999996</v>
      </c>
      <c r="I50" s="87">
        <f t="shared" si="11"/>
        <v>501623.51999999996</v>
      </c>
      <c r="J50" s="142"/>
    </row>
    <row r="51" spans="1:12" ht="71.25" x14ac:dyDescent="0.2">
      <c r="A51" s="106">
        <v>9</v>
      </c>
      <c r="B51" s="5" t="s">
        <v>108</v>
      </c>
      <c r="C51" s="103" t="s">
        <v>82</v>
      </c>
      <c r="D51" s="108" t="s">
        <v>230</v>
      </c>
      <c r="E51" s="56" t="s">
        <v>25</v>
      </c>
      <c r="F51" s="109">
        <v>71</v>
      </c>
      <c r="G51" s="86">
        <v>9559.9699999999993</v>
      </c>
      <c r="H51" s="86">
        <f t="shared" si="10"/>
        <v>678757.87</v>
      </c>
      <c r="I51" s="87">
        <f t="shared" si="11"/>
        <v>678757.87</v>
      </c>
      <c r="J51" s="142"/>
    </row>
    <row r="52" spans="1:12" ht="71.25" x14ac:dyDescent="0.2">
      <c r="A52" s="106">
        <v>10</v>
      </c>
      <c r="B52" s="5" t="s">
        <v>109</v>
      </c>
      <c r="C52" s="103" t="s">
        <v>82</v>
      </c>
      <c r="D52" s="108" t="s">
        <v>231</v>
      </c>
      <c r="E52" s="56" t="s">
        <v>25</v>
      </c>
      <c r="F52" s="109">
        <v>71</v>
      </c>
      <c r="G52" s="86">
        <v>2039.12</v>
      </c>
      <c r="H52" s="86">
        <f t="shared" si="10"/>
        <v>144777.51999999999</v>
      </c>
      <c r="I52" s="87">
        <f t="shared" si="11"/>
        <v>144777.51999999999</v>
      </c>
      <c r="J52" s="142"/>
    </row>
    <row r="53" spans="1:12" ht="71.25" x14ac:dyDescent="0.2">
      <c r="A53" s="106">
        <v>11</v>
      </c>
      <c r="B53" s="5" t="s">
        <v>177</v>
      </c>
      <c r="C53" s="103" t="s">
        <v>87</v>
      </c>
      <c r="D53" s="107" t="s">
        <v>232</v>
      </c>
      <c r="E53" s="56" t="s">
        <v>25</v>
      </c>
      <c r="F53" s="109">
        <v>1</v>
      </c>
      <c r="G53" s="86">
        <v>1794955.3</v>
      </c>
      <c r="H53" s="86">
        <f t="shared" si="10"/>
        <v>1794955.3</v>
      </c>
      <c r="I53" s="87">
        <f t="shared" si="11"/>
        <v>1794955.3</v>
      </c>
      <c r="J53" s="142"/>
    </row>
    <row r="54" spans="1:12" ht="57" x14ac:dyDescent="0.2">
      <c r="A54" s="106">
        <v>12</v>
      </c>
      <c r="B54" s="5" t="s">
        <v>178</v>
      </c>
      <c r="C54" s="110" t="s">
        <v>87</v>
      </c>
      <c r="D54" s="107" t="s">
        <v>233</v>
      </c>
      <c r="E54" s="56" t="s">
        <v>25</v>
      </c>
      <c r="F54" s="111">
        <v>24</v>
      </c>
      <c r="G54" s="86">
        <v>608567.81000000006</v>
      </c>
      <c r="H54" s="86">
        <f t="shared" si="10"/>
        <v>14605627.440000001</v>
      </c>
      <c r="I54" s="87">
        <f t="shared" si="11"/>
        <v>14605627.440000001</v>
      </c>
      <c r="J54" s="142"/>
    </row>
    <row r="55" spans="1:12" ht="57" x14ac:dyDescent="0.2">
      <c r="A55" s="106">
        <v>13</v>
      </c>
      <c r="B55" s="5" t="s">
        <v>179</v>
      </c>
      <c r="C55" s="110" t="s">
        <v>87</v>
      </c>
      <c r="D55" s="107" t="s">
        <v>234</v>
      </c>
      <c r="E55" s="56" t="s">
        <v>25</v>
      </c>
      <c r="F55" s="111">
        <v>24</v>
      </c>
      <c r="G55" s="86">
        <v>1100170.72</v>
      </c>
      <c r="H55" s="86">
        <f t="shared" si="10"/>
        <v>26404097.280000001</v>
      </c>
      <c r="I55" s="87">
        <f t="shared" si="11"/>
        <v>26404097.280000001</v>
      </c>
      <c r="J55" s="142"/>
    </row>
    <row r="56" spans="1:12" ht="42.75" x14ac:dyDescent="0.2">
      <c r="A56" s="106">
        <v>14</v>
      </c>
      <c r="B56" s="5" t="s">
        <v>180</v>
      </c>
      <c r="C56" s="103" t="s">
        <v>82</v>
      </c>
      <c r="D56" s="108" t="s">
        <v>235</v>
      </c>
      <c r="E56" s="56" t="s">
        <v>25</v>
      </c>
      <c r="F56" s="109">
        <v>1</v>
      </c>
      <c r="G56" s="86">
        <v>2824913.24</v>
      </c>
      <c r="H56" s="86">
        <f t="shared" si="10"/>
        <v>2824913.24</v>
      </c>
      <c r="I56" s="87">
        <f t="shared" si="11"/>
        <v>2824913.24</v>
      </c>
      <c r="J56" s="142"/>
    </row>
    <row r="57" spans="1:12" ht="15" x14ac:dyDescent="0.25">
      <c r="A57" s="98"/>
      <c r="B57" s="62"/>
      <c r="C57" s="99"/>
      <c r="D57" s="100" t="s">
        <v>43</v>
      </c>
      <c r="E57" s="63"/>
      <c r="F57" s="64"/>
      <c r="G57" s="86"/>
      <c r="H57" s="86"/>
      <c r="I57" s="112">
        <f>SUM(I43:I56)</f>
        <v>73089191.929999992</v>
      </c>
      <c r="J57" s="134">
        <f>I57</f>
        <v>73089191.929999992</v>
      </c>
      <c r="K57" s="134">
        <f>Калькуляция!I137</f>
        <v>67951008.38000001</v>
      </c>
      <c r="L57" s="134">
        <f>(J57-K57)/K57</f>
        <v>7.5616001476621231E-2</v>
      </c>
    </row>
    <row r="58" spans="1:12" ht="15" x14ac:dyDescent="0.25">
      <c r="A58" s="98"/>
      <c r="B58" s="62"/>
      <c r="C58" s="99"/>
      <c r="D58" s="100" t="s">
        <v>44</v>
      </c>
      <c r="E58" s="63"/>
      <c r="F58" s="64"/>
      <c r="G58" s="86"/>
      <c r="H58" s="86"/>
      <c r="I58" s="87"/>
    </row>
    <row r="59" spans="1:12" ht="30" x14ac:dyDescent="0.2">
      <c r="A59" s="101" t="s">
        <v>4</v>
      </c>
      <c r="B59" s="61" t="s">
        <v>211</v>
      </c>
      <c r="C59" s="61" t="s">
        <v>212</v>
      </c>
      <c r="D59" s="61" t="s">
        <v>213</v>
      </c>
      <c r="E59" s="60" t="s">
        <v>19</v>
      </c>
      <c r="F59" s="60" t="s">
        <v>18</v>
      </c>
      <c r="G59" s="60" t="s">
        <v>5</v>
      </c>
      <c r="H59" s="60" t="s">
        <v>14</v>
      </c>
      <c r="I59" s="102" t="s">
        <v>15</v>
      </c>
    </row>
    <row r="60" spans="1:12" x14ac:dyDescent="0.2">
      <c r="A60" s="98" t="s">
        <v>27</v>
      </c>
      <c r="B60" s="113" t="s">
        <v>83</v>
      </c>
      <c r="C60" s="63">
        <f>8*5*3</f>
        <v>120</v>
      </c>
      <c r="D60" s="63">
        <v>150</v>
      </c>
      <c r="E60" s="63" t="s">
        <v>52</v>
      </c>
      <c r="F60" s="64">
        <f t="shared" ref="F60:F70" si="12">C60*D60*8</f>
        <v>144000</v>
      </c>
      <c r="G60" s="86">
        <v>294</v>
      </c>
      <c r="H60" s="86"/>
      <c r="I60" s="87">
        <f t="shared" ref="I60:I70" si="13">ROUND(F60*G60,2)</f>
        <v>42336000</v>
      </c>
    </row>
    <row r="61" spans="1:12" ht="28.5" x14ac:dyDescent="0.2">
      <c r="A61" s="98" t="s">
        <v>28</v>
      </c>
      <c r="B61" s="113" t="s">
        <v>236</v>
      </c>
      <c r="C61" s="63">
        <f>8</f>
        <v>8</v>
      </c>
      <c r="D61" s="63">
        <v>150</v>
      </c>
      <c r="E61" s="63" t="s">
        <v>52</v>
      </c>
      <c r="F61" s="64">
        <f t="shared" si="12"/>
        <v>9600</v>
      </c>
      <c r="G61" s="86">
        <v>495</v>
      </c>
      <c r="H61" s="86"/>
      <c r="I61" s="87">
        <f t="shared" si="13"/>
        <v>4752000</v>
      </c>
    </row>
    <row r="62" spans="1:12" ht="42.75" x14ac:dyDescent="0.2">
      <c r="A62" s="141" t="s">
        <v>29</v>
      </c>
      <c r="B62" s="113" t="s">
        <v>237</v>
      </c>
      <c r="C62" s="63">
        <v>6</v>
      </c>
      <c r="D62" s="63">
        <v>150</v>
      </c>
      <c r="E62" s="63" t="s">
        <v>52</v>
      </c>
      <c r="F62" s="64">
        <f t="shared" si="12"/>
        <v>7200</v>
      </c>
      <c r="G62" s="86">
        <v>720</v>
      </c>
      <c r="H62" s="63"/>
      <c r="I62" s="87">
        <f t="shared" si="13"/>
        <v>5184000</v>
      </c>
    </row>
    <row r="63" spans="1:12" ht="28.5" x14ac:dyDescent="0.2">
      <c r="A63" s="141" t="s">
        <v>30</v>
      </c>
      <c r="B63" s="113" t="s">
        <v>55</v>
      </c>
      <c r="C63" s="63">
        <v>6</v>
      </c>
      <c r="D63" s="63">
        <v>120</v>
      </c>
      <c r="E63" s="63" t="s">
        <v>52</v>
      </c>
      <c r="F63" s="64">
        <f t="shared" si="12"/>
        <v>5760</v>
      </c>
      <c r="G63" s="86">
        <v>670</v>
      </c>
      <c r="H63" s="86"/>
      <c r="I63" s="87">
        <f t="shared" si="13"/>
        <v>3859200</v>
      </c>
    </row>
    <row r="64" spans="1:12" ht="28.5" x14ac:dyDescent="0.2">
      <c r="A64" s="141" t="s">
        <v>31</v>
      </c>
      <c r="B64" s="113" t="s">
        <v>238</v>
      </c>
      <c r="C64" s="63">
        <v>1</v>
      </c>
      <c r="D64" s="63">
        <v>150</v>
      </c>
      <c r="E64" s="63" t="s">
        <v>52</v>
      </c>
      <c r="F64" s="64">
        <f t="shared" si="12"/>
        <v>1200</v>
      </c>
      <c r="G64" s="86">
        <v>410.21</v>
      </c>
      <c r="H64" s="86"/>
      <c r="I64" s="87">
        <f t="shared" si="13"/>
        <v>492252</v>
      </c>
    </row>
    <row r="65" spans="1:12" ht="28.5" x14ac:dyDescent="0.2">
      <c r="A65" s="141" t="s">
        <v>32</v>
      </c>
      <c r="B65" s="113" t="s">
        <v>239</v>
      </c>
      <c r="C65" s="63">
        <v>8</v>
      </c>
      <c r="D65" s="63">
        <v>150</v>
      </c>
      <c r="E65" s="63" t="s">
        <v>52</v>
      </c>
      <c r="F65" s="64">
        <f t="shared" si="12"/>
        <v>9600</v>
      </c>
      <c r="G65" s="86">
        <v>230</v>
      </c>
      <c r="H65" s="86"/>
      <c r="I65" s="87">
        <f t="shared" si="13"/>
        <v>2208000</v>
      </c>
    </row>
    <row r="66" spans="1:12" ht="28.5" x14ac:dyDescent="0.2">
      <c r="A66" s="141" t="s">
        <v>33</v>
      </c>
      <c r="B66" s="113" t="s">
        <v>47</v>
      </c>
      <c r="C66" s="63">
        <v>1</v>
      </c>
      <c r="D66" s="63">
        <v>180</v>
      </c>
      <c r="E66" s="63" t="s">
        <v>52</v>
      </c>
      <c r="F66" s="64">
        <f t="shared" si="12"/>
        <v>1440</v>
      </c>
      <c r="G66" s="86">
        <v>790</v>
      </c>
      <c r="H66" s="86"/>
      <c r="I66" s="87">
        <f t="shared" si="13"/>
        <v>1137600</v>
      </c>
    </row>
    <row r="67" spans="1:12" ht="42.75" x14ac:dyDescent="0.2">
      <c r="A67" s="141" t="s">
        <v>34</v>
      </c>
      <c r="B67" s="113" t="s">
        <v>240</v>
      </c>
      <c r="C67" s="63">
        <v>1</v>
      </c>
      <c r="D67" s="63">
        <v>150</v>
      </c>
      <c r="E67" s="63" t="s">
        <v>52</v>
      </c>
      <c r="F67" s="64">
        <f t="shared" si="12"/>
        <v>1200</v>
      </c>
      <c r="G67" s="86">
        <v>910</v>
      </c>
      <c r="H67" s="86"/>
      <c r="I67" s="87">
        <f t="shared" si="13"/>
        <v>1092000</v>
      </c>
    </row>
    <row r="68" spans="1:12" x14ac:dyDescent="0.2">
      <c r="A68" s="141" t="s">
        <v>37</v>
      </c>
      <c r="B68" s="113" t="s">
        <v>45</v>
      </c>
      <c r="C68" s="63">
        <f>8*2</f>
        <v>16</v>
      </c>
      <c r="D68" s="63">
        <v>150</v>
      </c>
      <c r="E68" s="63" t="s">
        <v>52</v>
      </c>
      <c r="F68" s="64">
        <f t="shared" si="12"/>
        <v>19200</v>
      </c>
      <c r="G68" s="86">
        <v>360</v>
      </c>
      <c r="H68" s="86"/>
      <c r="I68" s="87">
        <f t="shared" si="13"/>
        <v>6912000</v>
      </c>
    </row>
    <row r="69" spans="1:12" ht="28.5" x14ac:dyDescent="0.2">
      <c r="A69" s="141" t="s">
        <v>38</v>
      </c>
      <c r="B69" s="113" t="s">
        <v>241</v>
      </c>
      <c r="C69" s="63">
        <v>4</v>
      </c>
      <c r="D69" s="63">
        <v>180</v>
      </c>
      <c r="E69" s="63" t="s">
        <v>52</v>
      </c>
      <c r="F69" s="64">
        <f t="shared" si="12"/>
        <v>5760</v>
      </c>
      <c r="G69" s="86">
        <v>490</v>
      </c>
      <c r="H69" s="86"/>
      <c r="I69" s="87">
        <f t="shared" si="13"/>
        <v>2822400</v>
      </c>
    </row>
    <row r="70" spans="1:12" x14ac:dyDescent="0.2">
      <c r="A70" s="141" t="s">
        <v>242</v>
      </c>
      <c r="B70" s="114" t="s">
        <v>50</v>
      </c>
      <c r="C70" s="63">
        <v>12</v>
      </c>
      <c r="D70" s="63">
        <v>120</v>
      </c>
      <c r="E70" s="63" t="s">
        <v>52</v>
      </c>
      <c r="F70" s="64">
        <f t="shared" si="12"/>
        <v>11520</v>
      </c>
      <c r="G70" s="86">
        <v>247</v>
      </c>
      <c r="H70" s="86"/>
      <c r="I70" s="87">
        <f t="shared" si="13"/>
        <v>2845440</v>
      </c>
    </row>
    <row r="71" spans="1:12" ht="15" x14ac:dyDescent="0.25">
      <c r="A71" s="98"/>
      <c r="B71" s="62"/>
      <c r="C71" s="99"/>
      <c r="D71" s="100" t="s">
        <v>54</v>
      </c>
      <c r="E71" s="63"/>
      <c r="F71" s="64"/>
      <c r="G71" s="86"/>
      <c r="H71" s="86"/>
      <c r="I71" s="87">
        <f>SUM(I60:I70)</f>
        <v>73640892</v>
      </c>
    </row>
    <row r="72" spans="1:12" ht="15" x14ac:dyDescent="0.25">
      <c r="A72" s="98"/>
      <c r="B72" s="62"/>
      <c r="C72" s="99"/>
      <c r="D72" s="115" t="s">
        <v>72</v>
      </c>
      <c r="E72" s="64"/>
      <c r="F72" s="64"/>
      <c r="G72" s="86"/>
      <c r="H72" s="86"/>
      <c r="I72" s="116">
        <f>ROUND(I71*0.302,2)</f>
        <v>22239549.379999999</v>
      </c>
      <c r="J72" s="134">
        <f>SUM(I71:I72)</f>
        <v>95880441.379999995</v>
      </c>
      <c r="K72" s="134">
        <f>Калькуляция!I153+Калькуляция!I154</f>
        <v>86988770.409999996</v>
      </c>
      <c r="L72" s="134">
        <f>(J72-K72)/K72</f>
        <v>0.10221630824405625</v>
      </c>
    </row>
    <row r="73" spans="1:12" ht="15" x14ac:dyDescent="0.25">
      <c r="A73" s="98"/>
      <c r="B73" s="62"/>
      <c r="C73" s="99"/>
      <c r="D73" s="115" t="s">
        <v>99</v>
      </c>
      <c r="E73" s="64"/>
      <c r="F73" s="64"/>
      <c r="G73" s="86"/>
      <c r="H73" s="86"/>
      <c r="I73" s="105"/>
    </row>
    <row r="74" spans="1:12" x14ac:dyDescent="0.2">
      <c r="A74" s="98" t="s">
        <v>27</v>
      </c>
      <c r="B74" s="62"/>
      <c r="C74" s="99"/>
      <c r="D74" s="63" t="s">
        <v>98</v>
      </c>
      <c r="E74" s="64" t="s">
        <v>25</v>
      </c>
      <c r="F74" s="64">
        <v>246</v>
      </c>
      <c r="G74" s="86">
        <v>212799.87</v>
      </c>
      <c r="H74" s="65">
        <f>G74*F74</f>
        <v>52348768.019999996</v>
      </c>
      <c r="I74" s="117">
        <f>H74</f>
        <v>52348768.019999996</v>
      </c>
      <c r="J74" s="134">
        <f>I74</f>
        <v>52348768.019999996</v>
      </c>
      <c r="K74" s="134">
        <f>Калькуляция!I156</f>
        <v>49550508.18</v>
      </c>
      <c r="L74" s="134">
        <f>(J74-K74)/K74</f>
        <v>5.647287874091781E-2</v>
      </c>
    </row>
    <row r="75" spans="1:12" ht="15" x14ac:dyDescent="0.25">
      <c r="A75" s="98"/>
      <c r="B75" s="62"/>
      <c r="C75" s="99"/>
      <c r="D75" s="100" t="s">
        <v>57</v>
      </c>
      <c r="E75" s="63"/>
      <c r="F75" s="64"/>
      <c r="G75" s="86"/>
      <c r="H75" s="86"/>
      <c r="I75" s="87"/>
    </row>
    <row r="76" spans="1:12" x14ac:dyDescent="0.2">
      <c r="A76" s="98" t="s">
        <v>27</v>
      </c>
      <c r="B76" s="62"/>
      <c r="C76" s="99"/>
      <c r="D76" s="118" t="s">
        <v>59</v>
      </c>
      <c r="E76" s="63" t="s">
        <v>58</v>
      </c>
      <c r="F76" s="64">
        <f>C70*1.5*2*D70</f>
        <v>4320</v>
      </c>
      <c r="G76" s="86">
        <v>700</v>
      </c>
      <c r="H76" s="86"/>
      <c r="I76" s="87">
        <f>F76*G76</f>
        <v>3024000</v>
      </c>
    </row>
    <row r="77" spans="1:12" ht="30" x14ac:dyDescent="0.25">
      <c r="A77" s="98"/>
      <c r="B77" s="62"/>
      <c r="C77" s="99"/>
      <c r="D77" s="100" t="s">
        <v>73</v>
      </c>
      <c r="E77" s="63"/>
      <c r="F77" s="64"/>
      <c r="G77" s="86"/>
      <c r="H77" s="86"/>
      <c r="I77" s="116">
        <f>I31+I40+I57+I71+I72+I76</f>
        <v>698380859.6500001</v>
      </c>
      <c r="J77" s="134">
        <f>I92/(I77-I57)</f>
        <v>1.0306382337539456E-2</v>
      </c>
    </row>
    <row r="78" spans="1:12" ht="15" x14ac:dyDescent="0.25">
      <c r="A78" s="98"/>
      <c r="B78" s="62"/>
      <c r="C78" s="99"/>
      <c r="D78" s="100" t="s">
        <v>74</v>
      </c>
      <c r="E78" s="63"/>
      <c r="F78" s="64"/>
      <c r="G78" s="86"/>
      <c r="H78" s="86"/>
      <c r="I78" s="87"/>
    </row>
    <row r="79" spans="1:12" x14ac:dyDescent="0.2">
      <c r="A79" s="98"/>
      <c r="B79" s="62"/>
      <c r="C79" s="99"/>
      <c r="D79" s="119" t="s">
        <v>243</v>
      </c>
      <c r="E79" s="119" t="s">
        <v>61</v>
      </c>
      <c r="F79" s="119">
        <v>9</v>
      </c>
      <c r="G79" s="119">
        <v>441000</v>
      </c>
      <c r="H79" s="86"/>
      <c r="I79" s="87">
        <f>F79*G79</f>
        <v>3969000</v>
      </c>
      <c r="J79" s="134">
        <f>I77+I74</f>
        <v>750729627.67000008</v>
      </c>
    </row>
    <row r="80" spans="1:12" x14ac:dyDescent="0.2">
      <c r="A80" s="98"/>
      <c r="B80" s="62"/>
      <c r="C80" s="99"/>
      <c r="D80" s="119" t="s">
        <v>244</v>
      </c>
      <c r="E80" s="119" t="s">
        <v>61</v>
      </c>
      <c r="F80" s="119">
        <v>9</v>
      </c>
      <c r="G80" s="119">
        <v>188400</v>
      </c>
      <c r="H80" s="86"/>
      <c r="I80" s="87">
        <f>F80*G80</f>
        <v>1695600</v>
      </c>
    </row>
    <row r="81" spans="1:10" x14ac:dyDescent="0.2">
      <c r="A81" s="98"/>
      <c r="B81" s="62"/>
      <c r="C81" s="99"/>
      <c r="D81" s="119" t="s">
        <v>63</v>
      </c>
      <c r="E81" s="119" t="s">
        <v>25</v>
      </c>
      <c r="F81" s="119">
        <v>1</v>
      </c>
      <c r="G81" s="86"/>
      <c r="H81" s="86"/>
      <c r="I81" s="87">
        <f>I91</f>
        <v>779895</v>
      </c>
    </row>
    <row r="82" spans="1:10" x14ac:dyDescent="0.2">
      <c r="A82" s="98"/>
      <c r="B82" s="62"/>
      <c r="C82" s="99"/>
      <c r="D82" s="389" t="s">
        <v>64</v>
      </c>
      <c r="E82" s="389"/>
      <c r="F82" s="389"/>
      <c r="G82" s="86"/>
      <c r="H82" s="86"/>
      <c r="I82" s="87"/>
    </row>
    <row r="83" spans="1:10" x14ac:dyDescent="0.2">
      <c r="A83" s="98"/>
      <c r="B83" s="62"/>
      <c r="C83" s="99"/>
      <c r="D83" s="120" t="s">
        <v>81</v>
      </c>
      <c r="E83" s="56" t="s">
        <v>65</v>
      </c>
      <c r="F83" s="121" t="s">
        <v>66</v>
      </c>
      <c r="G83" s="121" t="s">
        <v>67</v>
      </c>
      <c r="H83" s="86"/>
      <c r="I83" s="87"/>
    </row>
    <row r="84" spans="1:10" x14ac:dyDescent="0.2">
      <c r="A84" s="98"/>
      <c r="B84" s="62"/>
      <c r="C84" s="99"/>
      <c r="D84" s="122" t="s">
        <v>68</v>
      </c>
      <c r="E84" s="2">
        <v>160000</v>
      </c>
      <c r="F84" s="122">
        <f>E84*12</f>
        <v>1920000</v>
      </c>
      <c r="G84" s="41">
        <v>3.7999999999999999E-2</v>
      </c>
      <c r="H84" s="86"/>
      <c r="I84" s="123">
        <f t="shared" ref="I84:I90" si="14">E84*G84</f>
        <v>6080</v>
      </c>
    </row>
    <row r="85" spans="1:10" x14ac:dyDescent="0.2">
      <c r="A85" s="98"/>
      <c r="B85" s="62"/>
      <c r="C85" s="99"/>
      <c r="D85" s="122" t="s">
        <v>69</v>
      </c>
      <c r="E85" s="2">
        <v>120000</v>
      </c>
      <c r="F85" s="122">
        <f t="shared" ref="F85:F90" si="15">E85*12</f>
        <v>1440000</v>
      </c>
      <c r="G85" s="41">
        <v>4.8000000000000001E-2</v>
      </c>
      <c r="H85" s="86"/>
      <c r="I85" s="123">
        <f t="shared" si="14"/>
        <v>5760</v>
      </c>
    </row>
    <row r="86" spans="1:10" x14ac:dyDescent="0.2">
      <c r="A86" s="98"/>
      <c r="B86" s="62"/>
      <c r="C86" s="99"/>
      <c r="D86" s="122" t="s">
        <v>70</v>
      </c>
      <c r="E86" s="2">
        <v>100000</v>
      </c>
      <c r="F86" s="122">
        <f t="shared" si="15"/>
        <v>1200000</v>
      </c>
      <c r="G86" s="41">
        <v>5.6000000000000001E-2</v>
      </c>
      <c r="H86" s="86"/>
      <c r="I86" s="123">
        <f t="shared" si="14"/>
        <v>5600</v>
      </c>
    </row>
    <row r="87" spans="1:10" x14ac:dyDescent="0.2">
      <c r="A87" s="98"/>
      <c r="B87" s="62"/>
      <c r="C87" s="99"/>
      <c r="D87" s="122" t="s">
        <v>76</v>
      </c>
      <c r="E87" s="2">
        <v>75000</v>
      </c>
      <c r="F87" s="122">
        <f t="shared" si="15"/>
        <v>900000</v>
      </c>
      <c r="G87" s="41">
        <v>0.46</v>
      </c>
      <c r="H87" s="86"/>
      <c r="I87" s="123">
        <f t="shared" si="14"/>
        <v>34500</v>
      </c>
    </row>
    <row r="88" spans="1:10" x14ac:dyDescent="0.2">
      <c r="A88" s="98"/>
      <c r="B88" s="62"/>
      <c r="C88" s="99"/>
      <c r="D88" s="122" t="s">
        <v>71</v>
      </c>
      <c r="E88" s="2">
        <v>80000</v>
      </c>
      <c r="F88" s="122">
        <f t="shared" si="15"/>
        <v>960000</v>
      </c>
      <c r="G88" s="41">
        <v>9.5000000000000001E-2</v>
      </c>
      <c r="H88" s="86"/>
      <c r="I88" s="123">
        <f t="shared" si="14"/>
        <v>7600</v>
      </c>
    </row>
    <row r="89" spans="1:10" x14ac:dyDescent="0.2">
      <c r="A89" s="98"/>
      <c r="B89" s="62"/>
      <c r="C89" s="99"/>
      <c r="D89" s="122" t="s">
        <v>245</v>
      </c>
      <c r="E89" s="2">
        <v>70000</v>
      </c>
      <c r="F89" s="122">
        <f t="shared" si="15"/>
        <v>840000</v>
      </c>
      <c r="G89" s="41">
        <v>0.34</v>
      </c>
      <c r="H89" s="86"/>
      <c r="I89" s="123">
        <f t="shared" si="14"/>
        <v>23800</v>
      </c>
    </row>
    <row r="90" spans="1:10" x14ac:dyDescent="0.2">
      <c r="A90" s="98"/>
      <c r="B90" s="62"/>
      <c r="C90" s="99"/>
      <c r="D90" s="122" t="s">
        <v>246</v>
      </c>
      <c r="E90" s="2">
        <v>65000</v>
      </c>
      <c r="F90" s="122">
        <f t="shared" si="15"/>
        <v>780000</v>
      </c>
      <c r="G90" s="41">
        <v>5.0999999999999997E-2</v>
      </c>
      <c r="H90" s="86"/>
      <c r="I90" s="123">
        <f t="shared" si="14"/>
        <v>3315</v>
      </c>
    </row>
    <row r="91" spans="1:10" x14ac:dyDescent="0.2">
      <c r="A91" s="98"/>
      <c r="B91" s="62"/>
      <c r="C91" s="99"/>
      <c r="D91" s="390" t="s">
        <v>247</v>
      </c>
      <c r="E91" s="390"/>
      <c r="F91" s="390"/>
      <c r="G91" s="1"/>
      <c r="H91" s="86"/>
      <c r="I91" s="123">
        <f>SUM(I84:I90)*9</f>
        <v>779895</v>
      </c>
    </row>
    <row r="92" spans="1:10" ht="15" x14ac:dyDescent="0.25">
      <c r="A92" s="98"/>
      <c r="B92" s="62"/>
      <c r="C92" s="99"/>
      <c r="D92" s="100" t="s">
        <v>77</v>
      </c>
      <c r="E92" s="63"/>
      <c r="F92" s="64"/>
      <c r="G92" s="86"/>
      <c r="H92" s="86"/>
      <c r="I92" s="116">
        <f>SUM(I79:I81)</f>
        <v>6444495</v>
      </c>
    </row>
    <row r="93" spans="1:10" ht="15" x14ac:dyDescent="0.25">
      <c r="A93" s="98"/>
      <c r="B93" s="62"/>
      <c r="C93" s="99"/>
      <c r="D93" s="124"/>
      <c r="E93" s="63"/>
      <c r="F93" s="64"/>
      <c r="G93" s="86"/>
      <c r="H93" s="86"/>
      <c r="I93" s="105"/>
      <c r="J93" s="134">
        <f>I94-I92</f>
        <v>750729627.67000008</v>
      </c>
    </row>
    <row r="94" spans="1:10" ht="15" x14ac:dyDescent="0.25">
      <c r="A94" s="98"/>
      <c r="B94" s="62"/>
      <c r="C94" s="99"/>
      <c r="D94" s="124" t="s">
        <v>248</v>
      </c>
      <c r="E94" s="63"/>
      <c r="F94" s="64"/>
      <c r="G94" s="86"/>
      <c r="H94" s="86"/>
      <c r="I94" s="116">
        <f>I77+I92+I74</f>
        <v>757174122.67000008</v>
      </c>
    </row>
    <row r="95" spans="1:10" ht="15" x14ac:dyDescent="0.25">
      <c r="A95" s="98"/>
      <c r="B95" s="62"/>
      <c r="C95" s="99"/>
      <c r="D95" s="124" t="s">
        <v>257</v>
      </c>
      <c r="E95" s="63" t="s">
        <v>176</v>
      </c>
      <c r="F95" s="209">
        <v>5</v>
      </c>
      <c r="G95" s="86"/>
      <c r="H95" s="86"/>
      <c r="I95" s="105">
        <f>ROUND((I94-I74-I31)*F95%,2)</f>
        <v>12092238.800000001</v>
      </c>
    </row>
    <row r="96" spans="1:10" ht="15" x14ac:dyDescent="0.25">
      <c r="A96" s="98"/>
      <c r="B96" s="62"/>
      <c r="C96" s="99"/>
      <c r="D96" s="124" t="s">
        <v>79</v>
      </c>
      <c r="E96" s="63" t="s">
        <v>176</v>
      </c>
      <c r="F96" s="64">
        <v>20</v>
      </c>
      <c r="G96" s="86"/>
      <c r="H96" s="86"/>
      <c r="I96" s="105">
        <f>ROUND((I94+I95-I57*(1+F95%))*0.2,2)</f>
        <v>138504541.99000001</v>
      </c>
    </row>
    <row r="97" spans="1:10" ht="15.75" thickBot="1" x14ac:dyDescent="0.3">
      <c r="A97" s="125"/>
      <c r="B97" s="126"/>
      <c r="C97" s="127"/>
      <c r="D97" s="128" t="s">
        <v>80</v>
      </c>
      <c r="E97" s="129"/>
      <c r="F97" s="130"/>
      <c r="G97" s="88"/>
      <c r="H97" s="88"/>
      <c r="I97" s="131">
        <f>SUM(I94:I96)</f>
        <v>907770903.46000004</v>
      </c>
    </row>
    <row r="98" spans="1:10" ht="15" x14ac:dyDescent="0.25">
      <c r="I98" s="132">
        <f>I99-I97</f>
        <v>113171309.28999996</v>
      </c>
    </row>
    <row r="99" spans="1:10" ht="15" x14ac:dyDescent="0.25">
      <c r="F99" s="70"/>
      <c r="I99" s="133">
        <v>1020942212.75</v>
      </c>
      <c r="J99" s="63" t="s">
        <v>302</v>
      </c>
    </row>
    <row r="100" spans="1:10" x14ac:dyDescent="0.2">
      <c r="F100" s="70"/>
      <c r="I100" s="134">
        <f>Калькуляция!I178</f>
        <v>837855824.88</v>
      </c>
      <c r="J100" s="135">
        <f>(I97-I100)/I100</f>
        <v>8.3445237836728622E-2</v>
      </c>
    </row>
    <row r="101" spans="1:10" x14ac:dyDescent="0.2">
      <c r="F101" s="70"/>
    </row>
    <row r="102" spans="1:10" x14ac:dyDescent="0.2">
      <c r="F102" s="70"/>
    </row>
  </sheetData>
  <mergeCells count="20">
    <mergeCell ref="A3:A6"/>
    <mergeCell ref="B3:B6"/>
    <mergeCell ref="A15:A18"/>
    <mergeCell ref="B15:B18"/>
    <mergeCell ref="A7:A10"/>
    <mergeCell ref="B7:B10"/>
    <mergeCell ref="A11:A14"/>
    <mergeCell ref="B11:B14"/>
    <mergeCell ref="A22:A24"/>
    <mergeCell ref="B22:B24"/>
    <mergeCell ref="D82:F82"/>
    <mergeCell ref="D91:F91"/>
    <mergeCell ref="A19:A21"/>
    <mergeCell ref="B19:B21"/>
    <mergeCell ref="A25:A26"/>
    <mergeCell ref="B25:B26"/>
    <mergeCell ref="A27:A28"/>
    <mergeCell ref="B27:B28"/>
    <mergeCell ref="A29:A30"/>
    <mergeCell ref="B29:B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"/>
  <sheetViews>
    <sheetView topLeftCell="A64" zoomScale="55" zoomScaleNormal="55" workbookViewId="0">
      <selection activeCell="F7" sqref="F7"/>
    </sheetView>
  </sheetViews>
  <sheetFormatPr defaultColWidth="8.85546875" defaultRowHeight="14.25" x14ac:dyDescent="0.2"/>
  <cols>
    <col min="1" max="1" width="5.140625" style="69" customWidth="1"/>
    <col min="2" max="2" width="31.42578125" style="69" customWidth="1"/>
    <col min="3" max="3" width="20.85546875" style="70" customWidth="1"/>
    <col min="4" max="4" width="48.28515625" style="70" customWidth="1"/>
    <col min="5" max="5" width="12.42578125" style="70" bestFit="1" customWidth="1"/>
    <col min="6" max="6" width="15" style="71" bestFit="1" customWidth="1"/>
    <col min="7" max="7" width="17.28515625" style="70" customWidth="1"/>
    <col min="8" max="8" width="20.140625" style="70" customWidth="1"/>
    <col min="9" max="9" width="19.85546875" style="70" customWidth="1"/>
    <col min="10" max="10" width="18.28515625" style="70" customWidth="1"/>
    <col min="11" max="11" width="17.28515625" style="70" customWidth="1"/>
    <col min="12" max="12" width="15.7109375" style="70" bestFit="1" customWidth="1"/>
    <col min="13" max="13" width="18.85546875" style="70" customWidth="1"/>
    <col min="14" max="14" width="8.85546875" style="70"/>
    <col min="15" max="15" width="14.140625" style="70" customWidth="1"/>
    <col min="16" max="16384" width="8.85546875" style="70"/>
  </cols>
  <sheetData>
    <row r="1" spans="1:17" ht="15" x14ac:dyDescent="0.25">
      <c r="A1" s="62"/>
      <c r="B1" s="62"/>
      <c r="C1" s="63"/>
      <c r="D1" s="115" t="s">
        <v>26</v>
      </c>
      <c r="E1" s="63"/>
      <c r="F1" s="64"/>
      <c r="G1" s="63"/>
      <c r="H1" s="63"/>
      <c r="I1" s="63"/>
      <c r="J1" s="187">
        <v>0.10299999999999999</v>
      </c>
      <c r="K1" s="21"/>
      <c r="L1" s="22"/>
      <c r="M1" s="22"/>
      <c r="N1" s="8"/>
      <c r="O1" s="8"/>
      <c r="P1" s="8"/>
      <c r="Q1" s="8"/>
    </row>
    <row r="2" spans="1:17" ht="30.75" thickBot="1" x14ac:dyDescent="0.25">
      <c r="A2" s="79" t="s">
        <v>4</v>
      </c>
      <c r="B2" s="79" t="s">
        <v>16</v>
      </c>
      <c r="C2" s="79" t="s">
        <v>17</v>
      </c>
      <c r="D2" s="79" t="s">
        <v>3</v>
      </c>
      <c r="E2" s="79" t="s">
        <v>19</v>
      </c>
      <c r="F2" s="79" t="s">
        <v>18</v>
      </c>
      <c r="G2" s="79" t="s">
        <v>5</v>
      </c>
      <c r="H2" s="79" t="s">
        <v>14</v>
      </c>
      <c r="I2" s="79" t="s">
        <v>15</v>
      </c>
      <c r="J2" s="21"/>
      <c r="K2" s="21"/>
      <c r="L2" s="22"/>
      <c r="M2" s="22"/>
      <c r="N2" s="8"/>
      <c r="O2" s="8"/>
      <c r="P2" s="8"/>
      <c r="Q2" s="8"/>
    </row>
    <row r="3" spans="1:17" x14ac:dyDescent="0.2">
      <c r="A3" s="393" t="s">
        <v>27</v>
      </c>
      <c r="B3" s="405" t="s">
        <v>220</v>
      </c>
      <c r="C3" s="81" t="s">
        <v>24</v>
      </c>
      <c r="D3" s="81" t="s">
        <v>265</v>
      </c>
      <c r="E3" s="152" t="s">
        <v>25</v>
      </c>
      <c r="F3" s="82">
        <v>121</v>
      </c>
      <c r="G3" s="26">
        <v>944627.82</v>
      </c>
      <c r="H3" s="57">
        <f t="shared" ref="H3:H30" si="0">G3*F3</f>
        <v>114299966.22</v>
      </c>
      <c r="I3" s="83">
        <f>H3</f>
        <v>114299966.22</v>
      </c>
      <c r="J3" s="21"/>
      <c r="K3" s="21"/>
      <c r="L3" s="22"/>
      <c r="M3" s="22"/>
      <c r="N3" s="8"/>
      <c r="O3" s="8"/>
      <c r="P3" s="8"/>
      <c r="Q3" s="8"/>
    </row>
    <row r="4" spans="1:17" x14ac:dyDescent="0.2">
      <c r="A4" s="403"/>
      <c r="B4" s="406"/>
      <c r="C4" s="84" t="s">
        <v>8</v>
      </c>
      <c r="D4" s="120" t="s">
        <v>266</v>
      </c>
      <c r="E4" s="153" t="s">
        <v>25</v>
      </c>
      <c r="F4" s="85">
        <v>121</v>
      </c>
      <c r="G4" s="140">
        <v>91156.18</v>
      </c>
      <c r="H4" s="58">
        <f t="shared" si="0"/>
        <v>11029897.779999999</v>
      </c>
      <c r="I4" s="117">
        <f t="shared" ref="I4" si="1">H4</f>
        <v>11029897.779999999</v>
      </c>
      <c r="J4" s="21"/>
      <c r="K4" s="21"/>
      <c r="L4" s="22"/>
      <c r="M4" s="22"/>
      <c r="N4" s="8"/>
      <c r="O4" s="8"/>
      <c r="P4" s="8"/>
      <c r="Q4" s="8"/>
    </row>
    <row r="5" spans="1:17" ht="28.5" x14ac:dyDescent="0.2">
      <c r="A5" s="404"/>
      <c r="B5" s="407"/>
      <c r="C5" s="108" t="s">
        <v>39</v>
      </c>
      <c r="D5" s="118" t="s">
        <v>267</v>
      </c>
      <c r="E5" s="153" t="s">
        <v>25</v>
      </c>
      <c r="F5" s="85">
        <v>121</v>
      </c>
      <c r="G5" s="140">
        <v>482694.66</v>
      </c>
      <c r="H5" s="58">
        <f t="shared" si="0"/>
        <v>58406053.859999999</v>
      </c>
      <c r="I5" s="117">
        <f t="shared" ref="I5:I6" si="2">H5</f>
        <v>58406053.859999999</v>
      </c>
      <c r="J5" s="21">
        <f>SUM(I3:I5)</f>
        <v>183735917.86000001</v>
      </c>
      <c r="K5" s="21"/>
      <c r="L5" s="21"/>
      <c r="M5" s="22"/>
      <c r="N5" s="8"/>
      <c r="O5" s="8"/>
      <c r="P5" s="8"/>
      <c r="Q5" s="8"/>
    </row>
    <row r="6" spans="1:17" ht="29.25" thickBot="1" x14ac:dyDescent="0.25">
      <c r="A6" s="394"/>
      <c r="B6" s="408"/>
      <c r="C6" s="31" t="s">
        <v>297</v>
      </c>
      <c r="D6" s="148" t="s">
        <v>309</v>
      </c>
      <c r="E6" s="154" t="s">
        <v>25</v>
      </c>
      <c r="F6" s="33">
        <v>121</v>
      </c>
      <c r="G6" s="177">
        <v>156403.29999999999</v>
      </c>
      <c r="H6" s="177">
        <f t="shared" si="0"/>
        <v>18924799.299999997</v>
      </c>
      <c r="I6" s="178">
        <f t="shared" si="2"/>
        <v>18924799.299999997</v>
      </c>
      <c r="J6" s="21"/>
      <c r="K6" s="158">
        <f>ROUND(J5*$J$1/F6,2)</f>
        <v>156403.29999999999</v>
      </c>
      <c r="L6" s="158">
        <f>K6*F6</f>
        <v>18924799.299999997</v>
      </c>
      <c r="M6" s="21">
        <v>8472780.8000000007</v>
      </c>
      <c r="N6" s="8"/>
      <c r="O6" s="8"/>
      <c r="P6" s="8"/>
      <c r="Q6" s="8"/>
    </row>
    <row r="7" spans="1:17" x14ac:dyDescent="0.2">
      <c r="A7" s="409" t="s">
        <v>28</v>
      </c>
      <c r="B7" s="410" t="s">
        <v>221</v>
      </c>
      <c r="C7" s="81" t="s">
        <v>24</v>
      </c>
      <c r="D7" s="81" t="s">
        <v>268</v>
      </c>
      <c r="E7" s="152" t="s">
        <v>25</v>
      </c>
      <c r="F7" s="82">
        <v>567</v>
      </c>
      <c r="G7" s="26">
        <v>158201.72</v>
      </c>
      <c r="H7" s="57">
        <f t="shared" si="0"/>
        <v>89700375.239999995</v>
      </c>
      <c r="I7" s="83">
        <f>H7</f>
        <v>89700375.239999995</v>
      </c>
      <c r="J7" s="21"/>
      <c r="K7" s="21"/>
      <c r="L7" s="22"/>
      <c r="M7" s="22"/>
      <c r="N7" s="8"/>
      <c r="O7" s="8"/>
      <c r="P7" s="8"/>
      <c r="Q7" s="8"/>
    </row>
    <row r="8" spans="1:17" x14ac:dyDescent="0.2">
      <c r="A8" s="403"/>
      <c r="B8" s="406"/>
      <c r="C8" s="84" t="s">
        <v>8</v>
      </c>
      <c r="D8" s="120" t="s">
        <v>266</v>
      </c>
      <c r="E8" s="153" t="s">
        <v>25</v>
      </c>
      <c r="F8" s="85">
        <v>63</v>
      </c>
      <c r="G8" s="140">
        <v>91156.18</v>
      </c>
      <c r="H8" s="58">
        <f t="shared" si="0"/>
        <v>5742839.3399999999</v>
      </c>
      <c r="I8" s="117">
        <f t="shared" ref="I8:I30" si="3">H8</f>
        <v>5742839.3399999999</v>
      </c>
      <c r="J8" s="21"/>
      <c r="K8" s="21"/>
      <c r="L8" s="22"/>
      <c r="M8" s="22"/>
      <c r="N8" s="8"/>
      <c r="O8" s="8"/>
      <c r="P8" s="8"/>
      <c r="Q8" s="8"/>
    </row>
    <row r="9" spans="1:17" ht="28.5" x14ac:dyDescent="0.2">
      <c r="A9" s="404"/>
      <c r="B9" s="407"/>
      <c r="C9" s="108" t="s">
        <v>39</v>
      </c>
      <c r="D9" s="118" t="s">
        <v>267</v>
      </c>
      <c r="E9" s="153" t="s">
        <v>25</v>
      </c>
      <c r="F9" s="85">
        <v>63</v>
      </c>
      <c r="G9" s="140">
        <v>482694.66</v>
      </c>
      <c r="H9" s="58">
        <f t="shared" si="0"/>
        <v>30409763.579999998</v>
      </c>
      <c r="I9" s="117">
        <f t="shared" ref="I9:I10" si="4">H9</f>
        <v>30409763.579999998</v>
      </c>
      <c r="J9" s="21">
        <f>SUM(I7:I9)</f>
        <v>125852978.16</v>
      </c>
      <c r="K9" s="21"/>
      <c r="L9" s="21"/>
      <c r="M9" s="22"/>
      <c r="N9" s="8"/>
      <c r="O9" s="8"/>
      <c r="P9" s="8"/>
      <c r="Q9" s="8"/>
    </row>
    <row r="10" spans="1:17" ht="29.25" thickBot="1" x14ac:dyDescent="0.25">
      <c r="A10" s="394"/>
      <c r="B10" s="408"/>
      <c r="C10" s="31" t="s">
        <v>297</v>
      </c>
      <c r="D10" s="148" t="s">
        <v>309</v>
      </c>
      <c r="E10" s="154" t="s">
        <v>25</v>
      </c>
      <c r="F10" s="33">
        <f>F9</f>
        <v>63</v>
      </c>
      <c r="G10" s="177">
        <v>205759.63</v>
      </c>
      <c r="H10" s="177">
        <f t="shared" si="0"/>
        <v>12962856.689999999</v>
      </c>
      <c r="I10" s="178">
        <f t="shared" si="4"/>
        <v>12962856.689999999</v>
      </c>
      <c r="J10" s="21"/>
      <c r="K10" s="158">
        <f>ROUND(J9*$J$1/F10,2)</f>
        <v>205759.63</v>
      </c>
      <c r="L10" s="158">
        <f>K10*F10</f>
        <v>12962856.689999999</v>
      </c>
      <c r="M10" s="21">
        <v>4840463.25</v>
      </c>
      <c r="N10" s="8"/>
      <c r="O10" s="8"/>
      <c r="P10" s="8"/>
      <c r="Q10" s="8"/>
    </row>
    <row r="11" spans="1:17" x14ac:dyDescent="0.2">
      <c r="A11" s="393" t="s">
        <v>29</v>
      </c>
      <c r="B11" s="405" t="s">
        <v>222</v>
      </c>
      <c r="C11" s="81" t="s">
        <v>24</v>
      </c>
      <c r="D11" s="81" t="s">
        <v>269</v>
      </c>
      <c r="E11" s="152" t="s">
        <v>25</v>
      </c>
      <c r="F11" s="82">
        <v>30</v>
      </c>
      <c r="G11" s="26">
        <v>300737.96000000002</v>
      </c>
      <c r="H11" s="57">
        <f t="shared" si="0"/>
        <v>9022138.8000000007</v>
      </c>
      <c r="I11" s="83">
        <f>H11</f>
        <v>9022138.8000000007</v>
      </c>
      <c r="J11" s="21"/>
      <c r="K11" s="21"/>
      <c r="L11" s="22"/>
      <c r="M11" s="22"/>
      <c r="N11" s="8"/>
      <c r="O11" s="8"/>
      <c r="P11" s="8"/>
      <c r="Q11" s="8"/>
    </row>
    <row r="12" spans="1:17" x14ac:dyDescent="0.2">
      <c r="A12" s="403"/>
      <c r="B12" s="406"/>
      <c r="C12" s="84" t="s">
        <v>8</v>
      </c>
      <c r="D12" s="120" t="s">
        <v>266</v>
      </c>
      <c r="E12" s="153" t="s">
        <v>25</v>
      </c>
      <c r="F12" s="85">
        <v>30</v>
      </c>
      <c r="G12" s="140">
        <v>91156.18</v>
      </c>
      <c r="H12" s="58">
        <f t="shared" si="0"/>
        <v>2734685.4</v>
      </c>
      <c r="I12" s="117">
        <f t="shared" si="3"/>
        <v>2734685.4</v>
      </c>
      <c r="J12" s="21"/>
      <c r="K12" s="21"/>
      <c r="L12" s="22"/>
      <c r="M12" s="22"/>
      <c r="N12" s="8"/>
      <c r="O12" s="8"/>
      <c r="P12" s="8"/>
      <c r="Q12" s="8"/>
    </row>
    <row r="13" spans="1:17" ht="28.5" x14ac:dyDescent="0.2">
      <c r="A13" s="404"/>
      <c r="B13" s="407"/>
      <c r="C13" s="108" t="s">
        <v>39</v>
      </c>
      <c r="D13" s="118" t="s">
        <v>267</v>
      </c>
      <c r="E13" s="153" t="s">
        <v>25</v>
      </c>
      <c r="F13" s="85">
        <v>30</v>
      </c>
      <c r="G13" s="140">
        <v>482694.66</v>
      </c>
      <c r="H13" s="58">
        <f t="shared" si="0"/>
        <v>14480839.799999999</v>
      </c>
      <c r="I13" s="117">
        <f t="shared" ref="I13:I14" si="5">H13</f>
        <v>14480839.799999999</v>
      </c>
      <c r="J13" s="21">
        <f>SUM(I11:I13)</f>
        <v>26237664</v>
      </c>
      <c r="K13" s="21"/>
      <c r="L13" s="21"/>
      <c r="M13" s="22"/>
      <c r="N13" s="8"/>
      <c r="O13" s="8"/>
      <c r="P13" s="8"/>
      <c r="Q13" s="8"/>
    </row>
    <row r="14" spans="1:17" ht="29.25" thickBot="1" x14ac:dyDescent="0.25">
      <c r="A14" s="404"/>
      <c r="B14" s="408"/>
      <c r="C14" s="31" t="s">
        <v>297</v>
      </c>
      <c r="D14" s="148" t="s">
        <v>309</v>
      </c>
      <c r="E14" s="154" t="s">
        <v>25</v>
      </c>
      <c r="F14" s="33">
        <f>F13</f>
        <v>30</v>
      </c>
      <c r="G14" s="177">
        <v>90082.65</v>
      </c>
      <c r="H14" s="177">
        <f t="shared" si="0"/>
        <v>2702479.5</v>
      </c>
      <c r="I14" s="178">
        <f t="shared" si="5"/>
        <v>2702479.5</v>
      </c>
      <c r="J14" s="21"/>
      <c r="K14" s="158">
        <f>ROUND(J13*$J$1/F14,2)</f>
        <v>90082.65</v>
      </c>
      <c r="L14" s="158">
        <f>K14*F14</f>
        <v>2702479.5</v>
      </c>
      <c r="M14" s="21">
        <v>1284963</v>
      </c>
      <c r="N14" s="8"/>
      <c r="O14" s="8"/>
      <c r="P14" s="8"/>
      <c r="Q14" s="8"/>
    </row>
    <row r="15" spans="1:17" x14ac:dyDescent="0.2">
      <c r="A15" s="393" t="s">
        <v>30</v>
      </c>
      <c r="B15" s="405" t="s">
        <v>223</v>
      </c>
      <c r="C15" s="81" t="s">
        <v>24</v>
      </c>
      <c r="D15" s="81" t="s">
        <v>270</v>
      </c>
      <c r="E15" s="152" t="s">
        <v>25</v>
      </c>
      <c r="F15" s="82">
        <v>32</v>
      </c>
      <c r="G15" s="26">
        <v>817374.76</v>
      </c>
      <c r="H15" s="57">
        <f t="shared" si="0"/>
        <v>26155992.32</v>
      </c>
      <c r="I15" s="83">
        <f>H15</f>
        <v>26155992.32</v>
      </c>
      <c r="J15" s="21"/>
      <c r="K15" s="21"/>
      <c r="L15" s="22"/>
      <c r="M15" s="22"/>
      <c r="N15" s="8"/>
      <c r="O15" s="8"/>
      <c r="P15" s="8"/>
      <c r="Q15" s="8"/>
    </row>
    <row r="16" spans="1:17" x14ac:dyDescent="0.2">
      <c r="A16" s="403"/>
      <c r="B16" s="406"/>
      <c r="C16" s="84" t="s">
        <v>8</v>
      </c>
      <c r="D16" s="120" t="s">
        <v>266</v>
      </c>
      <c r="E16" s="153" t="s">
        <v>25</v>
      </c>
      <c r="F16" s="85">
        <v>32</v>
      </c>
      <c r="G16" s="140">
        <v>91156.18</v>
      </c>
      <c r="H16" s="58">
        <f t="shared" si="0"/>
        <v>2916997.76</v>
      </c>
      <c r="I16" s="117">
        <f t="shared" si="3"/>
        <v>2916997.76</v>
      </c>
      <c r="J16" s="21"/>
      <c r="K16" s="21"/>
      <c r="L16" s="22"/>
      <c r="M16" s="22"/>
      <c r="N16" s="8"/>
      <c r="O16" s="8"/>
      <c r="P16" s="8"/>
      <c r="Q16" s="8"/>
    </row>
    <row r="17" spans="1:17" ht="28.5" x14ac:dyDescent="0.2">
      <c r="A17" s="404"/>
      <c r="B17" s="407"/>
      <c r="C17" s="108" t="s">
        <v>39</v>
      </c>
      <c r="D17" s="118" t="s">
        <v>267</v>
      </c>
      <c r="E17" s="153" t="s">
        <v>25</v>
      </c>
      <c r="F17" s="85">
        <v>32</v>
      </c>
      <c r="G17" s="140">
        <v>482694.66</v>
      </c>
      <c r="H17" s="58">
        <f t="shared" si="0"/>
        <v>15446229.119999999</v>
      </c>
      <c r="I17" s="117">
        <f t="shared" ref="I17:I18" si="6">H17</f>
        <v>15446229.119999999</v>
      </c>
      <c r="J17" s="21">
        <f>SUM(I15:I17)</f>
        <v>44519219.199999996</v>
      </c>
      <c r="K17" s="21"/>
      <c r="L17" s="21"/>
      <c r="M17" s="22"/>
      <c r="N17" s="8"/>
      <c r="O17" s="8"/>
      <c r="P17" s="8"/>
      <c r="Q17" s="8"/>
    </row>
    <row r="18" spans="1:17" ht="29.25" thickBot="1" x14ac:dyDescent="0.25">
      <c r="A18" s="394"/>
      <c r="B18" s="408"/>
      <c r="C18" s="31" t="s">
        <v>297</v>
      </c>
      <c r="D18" s="148" t="s">
        <v>309</v>
      </c>
      <c r="E18" s="154" t="s">
        <v>25</v>
      </c>
      <c r="F18" s="33">
        <v>32</v>
      </c>
      <c r="G18" s="177">
        <v>143296.24</v>
      </c>
      <c r="H18" s="177">
        <f t="shared" si="0"/>
        <v>4585479.68</v>
      </c>
      <c r="I18" s="178">
        <f t="shared" si="6"/>
        <v>4585479.68</v>
      </c>
      <c r="J18" s="21"/>
      <c r="K18" s="158">
        <f>ROUND(J17*$J$1/F18,2)</f>
        <v>143296.24</v>
      </c>
      <c r="L18" s="158">
        <f>K18*F18</f>
        <v>4585479.68</v>
      </c>
      <c r="M18" s="21">
        <v>1131732.1400000001</v>
      </c>
      <c r="N18" s="8"/>
      <c r="O18" s="8"/>
      <c r="P18" s="8"/>
      <c r="Q18" s="8"/>
    </row>
    <row r="19" spans="1:17" s="8" customFormat="1" ht="42.75" x14ac:dyDescent="0.2">
      <c r="A19" s="369" t="s">
        <v>31</v>
      </c>
      <c r="B19" s="386" t="s">
        <v>6</v>
      </c>
      <c r="C19" s="155" t="s">
        <v>0</v>
      </c>
      <c r="D19" s="11" t="s">
        <v>271</v>
      </c>
      <c r="E19" s="149" t="s">
        <v>25</v>
      </c>
      <c r="F19" s="12">
        <v>24</v>
      </c>
      <c r="G19" s="13">
        <v>478677.39</v>
      </c>
      <c r="H19" s="13">
        <f t="shared" si="0"/>
        <v>11488257.359999999</v>
      </c>
      <c r="I19" s="14">
        <f t="shared" si="3"/>
        <v>11488257.359999999</v>
      </c>
      <c r="J19" s="21"/>
      <c r="K19" s="21"/>
      <c r="L19" s="136">
        <f>SUM(L6:L18)</f>
        <v>39175615.169999994</v>
      </c>
      <c r="M19" s="136">
        <f>SUM(M6:M18)</f>
        <v>15729939.190000001</v>
      </c>
    </row>
    <row r="20" spans="1:17" s="8" customFormat="1" ht="28.5" x14ac:dyDescent="0.2">
      <c r="A20" s="391"/>
      <c r="B20" s="392"/>
      <c r="C20" s="156" t="s">
        <v>1</v>
      </c>
      <c r="D20" s="9" t="s">
        <v>272</v>
      </c>
      <c r="E20" s="150" t="s">
        <v>25</v>
      </c>
      <c r="F20" s="6">
        <v>6</v>
      </c>
      <c r="G20" s="18">
        <v>557469.78</v>
      </c>
      <c r="H20" s="7">
        <f t="shared" si="0"/>
        <v>3344818.68</v>
      </c>
      <c r="I20" s="15">
        <f t="shared" ref="I20:I21" si="7">H20</f>
        <v>3344818.68</v>
      </c>
      <c r="J20" s="134"/>
      <c r="K20" s="134"/>
    </row>
    <row r="21" spans="1:17" s="8" customFormat="1" ht="29.25" thickBot="1" x14ac:dyDescent="0.25">
      <c r="A21" s="371"/>
      <c r="B21" s="388"/>
      <c r="C21" s="31" t="s">
        <v>297</v>
      </c>
      <c r="D21" s="32" t="s">
        <v>298</v>
      </c>
      <c r="E21" s="154" t="s">
        <v>25</v>
      </c>
      <c r="F21" s="33">
        <f>F20</f>
        <v>6</v>
      </c>
      <c r="G21" s="177">
        <v>803031.75</v>
      </c>
      <c r="H21" s="177">
        <f t="shared" si="0"/>
        <v>4818190.5</v>
      </c>
      <c r="I21" s="178">
        <f t="shared" si="7"/>
        <v>4818190.5</v>
      </c>
      <c r="K21" s="136"/>
    </row>
    <row r="22" spans="1:17" s="8" customFormat="1" ht="42.75" x14ac:dyDescent="0.2">
      <c r="A22" s="369" t="s">
        <v>32</v>
      </c>
      <c r="B22" s="386" t="s">
        <v>7</v>
      </c>
      <c r="C22" s="155" t="s">
        <v>0</v>
      </c>
      <c r="D22" s="81" t="s">
        <v>273</v>
      </c>
      <c r="E22" s="149" t="s">
        <v>25</v>
      </c>
      <c r="F22" s="12">
        <v>24</v>
      </c>
      <c r="G22" s="13">
        <v>448404.53</v>
      </c>
      <c r="H22" s="13">
        <f t="shared" si="0"/>
        <v>10761708.720000001</v>
      </c>
      <c r="I22" s="14">
        <f t="shared" si="3"/>
        <v>10761708.720000001</v>
      </c>
    </row>
    <row r="23" spans="1:17" s="8" customFormat="1" ht="28.5" x14ac:dyDescent="0.2">
      <c r="A23" s="411"/>
      <c r="B23" s="412"/>
      <c r="C23" s="156" t="s">
        <v>1</v>
      </c>
      <c r="D23" s="163" t="s">
        <v>272</v>
      </c>
      <c r="E23" s="150" t="s">
        <v>25</v>
      </c>
      <c r="F23" s="6">
        <v>6</v>
      </c>
      <c r="G23" s="7">
        <v>557469.78</v>
      </c>
      <c r="H23" s="7">
        <f t="shared" si="0"/>
        <v>3344818.68</v>
      </c>
      <c r="I23" s="15">
        <f t="shared" ref="I23:I24" si="8">H23</f>
        <v>3344818.68</v>
      </c>
      <c r="J23" s="134"/>
      <c r="K23" s="134"/>
    </row>
    <row r="24" spans="1:17" s="8" customFormat="1" ht="29.25" thickBot="1" x14ac:dyDescent="0.25">
      <c r="A24" s="371"/>
      <c r="B24" s="388"/>
      <c r="C24" s="31" t="s">
        <v>297</v>
      </c>
      <c r="D24" s="32" t="s">
        <v>298</v>
      </c>
      <c r="E24" s="154" t="s">
        <v>25</v>
      </c>
      <c r="F24" s="33">
        <f>F23</f>
        <v>6</v>
      </c>
      <c r="G24" s="177">
        <v>802375.48</v>
      </c>
      <c r="H24" s="177">
        <f t="shared" si="0"/>
        <v>4814252.88</v>
      </c>
      <c r="I24" s="178">
        <f t="shared" si="8"/>
        <v>4814252.88</v>
      </c>
    </row>
    <row r="25" spans="1:17" s="8" customFormat="1" ht="42.75" x14ac:dyDescent="0.2">
      <c r="A25" s="397" t="s">
        <v>33</v>
      </c>
      <c r="B25" s="413" t="s">
        <v>40</v>
      </c>
      <c r="C25" s="164" t="s">
        <v>9</v>
      </c>
      <c r="D25" s="81" t="s">
        <v>274</v>
      </c>
      <c r="E25" s="149" t="s">
        <v>25</v>
      </c>
      <c r="F25" s="12">
        <v>3</v>
      </c>
      <c r="G25" s="13">
        <v>7405253.5500000007</v>
      </c>
      <c r="H25" s="13">
        <f t="shared" si="0"/>
        <v>22215760.650000002</v>
      </c>
      <c r="I25" s="14">
        <f t="shared" si="3"/>
        <v>22215760.650000002</v>
      </c>
      <c r="J25" s="134"/>
      <c r="K25" s="134"/>
    </row>
    <row r="26" spans="1:17" s="8" customFormat="1" ht="17.25" customHeight="1" thickBot="1" x14ac:dyDescent="0.25">
      <c r="A26" s="399"/>
      <c r="B26" s="414"/>
      <c r="C26" s="31" t="s">
        <v>297</v>
      </c>
      <c r="D26" s="32" t="s">
        <v>298</v>
      </c>
      <c r="E26" s="154" t="s">
        <v>25</v>
      </c>
      <c r="F26" s="33">
        <f>F25</f>
        <v>3</v>
      </c>
      <c r="G26" s="177">
        <v>1546420.3599999999</v>
      </c>
      <c r="H26" s="177">
        <f t="shared" si="0"/>
        <v>4639261.08</v>
      </c>
      <c r="I26" s="178">
        <f t="shared" si="3"/>
        <v>4639261.08</v>
      </c>
    </row>
    <row r="27" spans="1:17" s="8" customFormat="1" ht="99.75" x14ac:dyDescent="0.2">
      <c r="A27" s="397" t="s">
        <v>34</v>
      </c>
      <c r="B27" s="413" t="s">
        <v>2</v>
      </c>
      <c r="C27" s="164" t="s">
        <v>2</v>
      </c>
      <c r="D27" s="81" t="s">
        <v>275</v>
      </c>
      <c r="E27" s="149" t="s">
        <v>25</v>
      </c>
      <c r="F27" s="12">
        <v>1</v>
      </c>
      <c r="G27" s="13">
        <v>862108.35</v>
      </c>
      <c r="H27" s="13">
        <f t="shared" si="0"/>
        <v>862108.35</v>
      </c>
      <c r="I27" s="14">
        <f t="shared" si="3"/>
        <v>862108.35</v>
      </c>
      <c r="J27" s="134"/>
      <c r="K27" s="134"/>
    </row>
    <row r="28" spans="1:17" s="8" customFormat="1" ht="17.25" customHeight="1" thickBot="1" x14ac:dyDescent="0.25">
      <c r="A28" s="399"/>
      <c r="B28" s="414"/>
      <c r="C28" s="31" t="s">
        <v>297</v>
      </c>
      <c r="D28" s="32" t="s">
        <v>298</v>
      </c>
      <c r="E28" s="154" t="s">
        <v>25</v>
      </c>
      <c r="F28" s="33">
        <f>F27</f>
        <v>1</v>
      </c>
      <c r="G28" s="177">
        <v>291217.49</v>
      </c>
      <c r="H28" s="177">
        <f t="shared" si="0"/>
        <v>291217.49</v>
      </c>
      <c r="I28" s="178">
        <f t="shared" si="3"/>
        <v>291217.49</v>
      </c>
    </row>
    <row r="29" spans="1:17" s="8" customFormat="1" ht="71.25" x14ac:dyDescent="0.2">
      <c r="A29" s="397" t="s">
        <v>37</v>
      </c>
      <c r="B29" s="413" t="s">
        <v>10</v>
      </c>
      <c r="C29" s="164" t="s">
        <v>224</v>
      </c>
      <c r="D29" s="81" t="s">
        <v>276</v>
      </c>
      <c r="E29" s="149" t="s">
        <v>25</v>
      </c>
      <c r="F29" s="12">
        <v>2</v>
      </c>
      <c r="G29" s="13">
        <v>6362300.0099999998</v>
      </c>
      <c r="H29" s="13">
        <f t="shared" si="0"/>
        <v>12724600.02</v>
      </c>
      <c r="I29" s="14">
        <f t="shared" si="3"/>
        <v>12724600.02</v>
      </c>
      <c r="J29" s="134"/>
      <c r="K29" s="134"/>
    </row>
    <row r="30" spans="1:17" s="8" customFormat="1" ht="17.25" customHeight="1" thickBot="1" x14ac:dyDescent="0.25">
      <c r="A30" s="399"/>
      <c r="B30" s="414"/>
      <c r="C30" s="31" t="s">
        <v>297</v>
      </c>
      <c r="D30" s="32" t="s">
        <v>298</v>
      </c>
      <c r="E30" s="154" t="s">
        <v>25</v>
      </c>
      <c r="F30" s="33">
        <f>F29</f>
        <v>2</v>
      </c>
      <c r="G30" s="177">
        <v>1618942.1</v>
      </c>
      <c r="H30" s="177">
        <f t="shared" si="0"/>
        <v>3237884.2</v>
      </c>
      <c r="I30" s="178">
        <f t="shared" si="3"/>
        <v>3237884.2</v>
      </c>
      <c r="J30" s="136"/>
    </row>
    <row r="31" spans="1:17" ht="15" x14ac:dyDescent="0.25">
      <c r="A31" s="91"/>
      <c r="B31" s="91"/>
      <c r="C31" s="92"/>
      <c r="D31" s="93" t="s">
        <v>42</v>
      </c>
      <c r="E31" s="94"/>
      <c r="F31" s="95"/>
      <c r="G31" s="96"/>
      <c r="H31" s="96"/>
      <c r="I31" s="19">
        <f>SUM(I3:I30)</f>
        <v>502064273</v>
      </c>
      <c r="J31" s="134">
        <f>I31</f>
        <v>502064273</v>
      </c>
      <c r="K31" s="134">
        <f>Калькуляция!I111</f>
        <v>429658617.23000014</v>
      </c>
      <c r="L31" s="134">
        <f>(J31-K31)/K31</f>
        <v>0.16851903550031783</v>
      </c>
    </row>
    <row r="32" spans="1:17" ht="15" x14ac:dyDescent="0.25">
      <c r="A32" s="62"/>
      <c r="B32" s="62"/>
      <c r="C32" s="99"/>
      <c r="D32" s="100" t="s">
        <v>35</v>
      </c>
      <c r="E32" s="63"/>
      <c r="F32" s="64"/>
      <c r="G32" s="86"/>
      <c r="H32" s="86"/>
      <c r="I32" s="86"/>
    </row>
    <row r="33" spans="1:10" ht="30" x14ac:dyDescent="0.2">
      <c r="A33" s="60" t="s">
        <v>4</v>
      </c>
      <c r="B33" s="60" t="s">
        <v>16</v>
      </c>
      <c r="C33" s="60" t="s">
        <v>17</v>
      </c>
      <c r="D33" s="60" t="s">
        <v>3</v>
      </c>
      <c r="E33" s="60" t="s">
        <v>19</v>
      </c>
      <c r="F33" s="60" t="s">
        <v>18</v>
      </c>
      <c r="G33" s="60" t="s">
        <v>5</v>
      </c>
      <c r="H33" s="60" t="s">
        <v>14</v>
      </c>
      <c r="I33" s="60" t="s">
        <v>15</v>
      </c>
    </row>
    <row r="34" spans="1:10" ht="15" x14ac:dyDescent="0.25">
      <c r="A34" s="62"/>
      <c r="B34" s="62"/>
      <c r="C34" s="99"/>
      <c r="D34" s="100"/>
      <c r="E34" s="56" t="s">
        <v>25</v>
      </c>
      <c r="F34" s="64"/>
      <c r="G34" s="86"/>
      <c r="H34" s="86"/>
      <c r="I34" s="86"/>
    </row>
    <row r="35" spans="1:10" ht="30" x14ac:dyDescent="0.25">
      <c r="A35" s="62"/>
      <c r="B35" s="62"/>
      <c r="C35" s="99"/>
      <c r="D35" s="100" t="s">
        <v>88</v>
      </c>
      <c r="E35" s="63"/>
      <c r="F35" s="64"/>
      <c r="G35" s="86"/>
      <c r="H35" s="86"/>
      <c r="I35" s="86"/>
    </row>
    <row r="36" spans="1:10" ht="30" x14ac:dyDescent="0.2">
      <c r="A36" s="60" t="s">
        <v>4</v>
      </c>
      <c r="B36" s="60" t="s">
        <v>16</v>
      </c>
      <c r="C36" s="60" t="s">
        <v>17</v>
      </c>
      <c r="D36" s="60" t="s">
        <v>3</v>
      </c>
      <c r="E36" s="60" t="s">
        <v>19</v>
      </c>
      <c r="F36" s="60" t="s">
        <v>18</v>
      </c>
      <c r="G36" s="60" t="s">
        <v>5</v>
      </c>
      <c r="H36" s="60" t="s">
        <v>14</v>
      </c>
      <c r="I36" s="60" t="s">
        <v>15</v>
      </c>
    </row>
    <row r="37" spans="1:10" ht="42.75" x14ac:dyDescent="0.2">
      <c r="A37" s="60">
        <v>1</v>
      </c>
      <c r="B37" s="103" t="s">
        <v>225</v>
      </c>
      <c r="C37" s="103" t="s">
        <v>225</v>
      </c>
      <c r="D37" s="137" t="s">
        <v>226</v>
      </c>
      <c r="E37" s="56" t="s">
        <v>25</v>
      </c>
      <c r="F37" s="85">
        <v>5</v>
      </c>
      <c r="G37" s="86">
        <v>7040615.2199999997</v>
      </c>
      <c r="H37" s="86">
        <f>G37*F37</f>
        <v>35203076.100000001</v>
      </c>
      <c r="I37" s="86">
        <f t="shared" ref="I37" si="9">H37</f>
        <v>35203076.100000001</v>
      </c>
    </row>
    <row r="38" spans="1:10" ht="42.75" x14ac:dyDescent="0.2">
      <c r="A38" s="62" t="s">
        <v>28</v>
      </c>
      <c r="B38" s="103" t="s">
        <v>227</v>
      </c>
      <c r="C38" s="103" t="s">
        <v>227</v>
      </c>
      <c r="D38" s="137" t="s">
        <v>226</v>
      </c>
      <c r="E38" s="56" t="s">
        <v>25</v>
      </c>
      <c r="F38" s="64">
        <v>5</v>
      </c>
      <c r="G38" s="86">
        <v>4860274.6500000004</v>
      </c>
      <c r="H38" s="86">
        <f>G38*F38</f>
        <v>24301373.25</v>
      </c>
      <c r="I38" s="86">
        <f>H38</f>
        <v>24301373.25</v>
      </c>
    </row>
    <row r="39" spans="1:10" x14ac:dyDescent="0.2">
      <c r="A39" s="186" t="s">
        <v>29</v>
      </c>
      <c r="B39" s="103"/>
      <c r="C39" s="103"/>
      <c r="D39" s="137" t="s">
        <v>307</v>
      </c>
      <c r="E39" s="184" t="s">
        <v>25</v>
      </c>
      <c r="F39" s="64">
        <v>5</v>
      </c>
      <c r="G39" s="86">
        <v>1793103.49</v>
      </c>
      <c r="H39" s="86">
        <f>G39*F39</f>
        <v>8965517.4499999993</v>
      </c>
      <c r="I39" s="86">
        <f>H39</f>
        <v>8965517.4499999993</v>
      </c>
    </row>
    <row r="40" spans="1:10" ht="30" x14ac:dyDescent="0.25">
      <c r="A40" s="62"/>
      <c r="B40" s="62"/>
      <c r="C40" s="99"/>
      <c r="D40" s="100" t="s">
        <v>90</v>
      </c>
      <c r="E40" s="63"/>
      <c r="F40" s="64"/>
      <c r="G40" s="86"/>
      <c r="H40" s="86"/>
      <c r="I40" s="66">
        <f>SUM(I37:I39)</f>
        <v>68469966.799999997</v>
      </c>
    </row>
    <row r="41" spans="1:10" ht="15" x14ac:dyDescent="0.25">
      <c r="A41" s="62"/>
      <c r="B41" s="62"/>
      <c r="C41" s="99"/>
      <c r="D41" s="100" t="s">
        <v>36</v>
      </c>
      <c r="E41" s="63"/>
      <c r="F41" s="64"/>
      <c r="G41" s="86"/>
      <c r="H41" s="86"/>
      <c r="I41" s="86"/>
    </row>
    <row r="42" spans="1:10" ht="30" x14ac:dyDescent="0.2">
      <c r="A42" s="60" t="s">
        <v>4</v>
      </c>
      <c r="B42" s="60" t="s">
        <v>16</v>
      </c>
      <c r="C42" s="60" t="s">
        <v>17</v>
      </c>
      <c r="D42" s="60" t="s">
        <v>3</v>
      </c>
      <c r="E42" s="60" t="s">
        <v>19</v>
      </c>
      <c r="F42" s="60" t="s">
        <v>18</v>
      </c>
      <c r="G42" s="60" t="s">
        <v>5</v>
      </c>
      <c r="H42" s="60" t="s">
        <v>14</v>
      </c>
      <c r="I42" s="60" t="s">
        <v>15</v>
      </c>
    </row>
    <row r="43" spans="1:10" ht="42.75" x14ac:dyDescent="0.2">
      <c r="A43" s="85">
        <v>1</v>
      </c>
      <c r="B43" s="5" t="s">
        <v>100</v>
      </c>
      <c r="C43" s="107" t="s">
        <v>87</v>
      </c>
      <c r="D43" s="107" t="s">
        <v>228</v>
      </c>
      <c r="E43" s="56" t="s">
        <v>25</v>
      </c>
      <c r="F43" s="85">
        <v>246</v>
      </c>
      <c r="G43" s="30">
        <v>44553.06</v>
      </c>
      <c r="H43" s="86">
        <f t="shared" ref="H43:H56" si="10">G43*F43</f>
        <v>10960052.76</v>
      </c>
      <c r="I43" s="86">
        <f t="shared" ref="I43:I56" si="11">H43</f>
        <v>10960052.76</v>
      </c>
      <c r="J43" s="142"/>
    </row>
    <row r="44" spans="1:10" ht="42.75" x14ac:dyDescent="0.2">
      <c r="A44" s="85">
        <v>2</v>
      </c>
      <c r="B44" s="5" t="s">
        <v>101</v>
      </c>
      <c r="C44" s="107" t="s">
        <v>87</v>
      </c>
      <c r="D44" s="107" t="s">
        <v>229</v>
      </c>
      <c r="E44" s="56" t="s">
        <v>25</v>
      </c>
      <c r="F44" s="85">
        <v>246</v>
      </c>
      <c r="G44" s="30">
        <v>29380.6</v>
      </c>
      <c r="H44" s="86">
        <f t="shared" si="10"/>
        <v>7227627.5999999996</v>
      </c>
      <c r="I44" s="86">
        <f t="shared" si="11"/>
        <v>7227627.5999999996</v>
      </c>
      <c r="J44" s="142"/>
    </row>
    <row r="45" spans="1:10" ht="42.75" x14ac:dyDescent="0.2">
      <c r="A45" s="85">
        <v>3</v>
      </c>
      <c r="B45" s="5" t="s">
        <v>104</v>
      </c>
      <c r="C45" s="103" t="s">
        <v>82</v>
      </c>
      <c r="D45" s="108" t="s">
        <v>230</v>
      </c>
      <c r="E45" s="56" t="s">
        <v>25</v>
      </c>
      <c r="F45" s="109">
        <v>246</v>
      </c>
      <c r="G45" s="30">
        <v>9565.1200000000008</v>
      </c>
      <c r="H45" s="86">
        <f t="shared" si="10"/>
        <v>2353019.52</v>
      </c>
      <c r="I45" s="86">
        <f t="shared" si="11"/>
        <v>2353019.52</v>
      </c>
      <c r="J45" s="142"/>
    </row>
    <row r="46" spans="1:10" ht="42.75" x14ac:dyDescent="0.2">
      <c r="A46" s="85">
        <v>4</v>
      </c>
      <c r="B46" s="5" t="s">
        <v>102</v>
      </c>
      <c r="C46" s="103" t="s">
        <v>82</v>
      </c>
      <c r="D46" s="108" t="s">
        <v>231</v>
      </c>
      <c r="E46" s="56" t="s">
        <v>25</v>
      </c>
      <c r="F46" s="109">
        <v>246</v>
      </c>
      <c r="G46" s="30">
        <v>2039.64</v>
      </c>
      <c r="H46" s="86">
        <f t="shared" si="10"/>
        <v>501751.44</v>
      </c>
      <c r="I46" s="86">
        <f t="shared" si="11"/>
        <v>501751.44</v>
      </c>
      <c r="J46" s="142"/>
    </row>
    <row r="47" spans="1:10" ht="42.75" x14ac:dyDescent="0.2">
      <c r="A47" s="85">
        <v>5</v>
      </c>
      <c r="B47" s="5" t="s">
        <v>103</v>
      </c>
      <c r="C47" s="103" t="s">
        <v>82</v>
      </c>
      <c r="D47" s="108" t="s">
        <v>230</v>
      </c>
      <c r="E47" s="56" t="s">
        <v>25</v>
      </c>
      <c r="F47" s="109">
        <v>246</v>
      </c>
      <c r="G47" s="30">
        <v>9565.1200000000008</v>
      </c>
      <c r="H47" s="86">
        <f t="shared" si="10"/>
        <v>2353019.52</v>
      </c>
      <c r="I47" s="86">
        <f t="shared" si="11"/>
        <v>2353019.52</v>
      </c>
      <c r="J47" s="142"/>
    </row>
    <row r="48" spans="1:10" ht="42.75" x14ac:dyDescent="0.2">
      <c r="A48" s="85">
        <v>6</v>
      </c>
      <c r="B48" s="5" t="s">
        <v>105</v>
      </c>
      <c r="C48" s="103" t="s">
        <v>82</v>
      </c>
      <c r="D48" s="108" t="s">
        <v>231</v>
      </c>
      <c r="E48" s="56" t="s">
        <v>25</v>
      </c>
      <c r="F48" s="109">
        <v>246</v>
      </c>
      <c r="G48" s="30">
        <v>2039.64</v>
      </c>
      <c r="H48" s="86">
        <f t="shared" si="10"/>
        <v>501751.44</v>
      </c>
      <c r="I48" s="86">
        <f t="shared" si="11"/>
        <v>501751.44</v>
      </c>
      <c r="J48" s="142"/>
    </row>
    <row r="49" spans="1:12" ht="42.75" x14ac:dyDescent="0.2">
      <c r="A49" s="85">
        <v>7</v>
      </c>
      <c r="B49" s="5" t="s">
        <v>106</v>
      </c>
      <c r="C49" s="103" t="s">
        <v>82</v>
      </c>
      <c r="D49" s="108" t="s">
        <v>230</v>
      </c>
      <c r="E49" s="56" t="s">
        <v>25</v>
      </c>
      <c r="F49" s="109">
        <v>246</v>
      </c>
      <c r="G49" s="30">
        <v>9565.1200000000008</v>
      </c>
      <c r="H49" s="86">
        <f t="shared" si="10"/>
        <v>2353019.52</v>
      </c>
      <c r="I49" s="86">
        <f t="shared" si="11"/>
        <v>2353019.52</v>
      </c>
    </row>
    <row r="50" spans="1:12" ht="42.75" x14ac:dyDescent="0.2">
      <c r="A50" s="85">
        <v>8</v>
      </c>
      <c r="B50" s="5" t="s">
        <v>107</v>
      </c>
      <c r="C50" s="103" t="s">
        <v>82</v>
      </c>
      <c r="D50" s="108" t="s">
        <v>231</v>
      </c>
      <c r="E50" s="56" t="s">
        <v>25</v>
      </c>
      <c r="F50" s="109">
        <v>246</v>
      </c>
      <c r="G50" s="30">
        <v>2039.64</v>
      </c>
      <c r="H50" s="86">
        <f t="shared" si="10"/>
        <v>501751.44</v>
      </c>
      <c r="I50" s="86">
        <f t="shared" si="11"/>
        <v>501751.44</v>
      </c>
    </row>
    <row r="51" spans="1:12" ht="42.75" x14ac:dyDescent="0.2">
      <c r="A51" s="85">
        <v>9</v>
      </c>
      <c r="B51" s="5" t="s">
        <v>108</v>
      </c>
      <c r="C51" s="103" t="s">
        <v>82</v>
      </c>
      <c r="D51" s="108" t="s">
        <v>230</v>
      </c>
      <c r="E51" s="56" t="s">
        <v>25</v>
      </c>
      <c r="F51" s="109">
        <v>71</v>
      </c>
      <c r="G51" s="30">
        <v>9565.1200000000008</v>
      </c>
      <c r="H51" s="86">
        <f t="shared" si="10"/>
        <v>679123.52</v>
      </c>
      <c r="I51" s="86">
        <f t="shared" si="11"/>
        <v>679123.52</v>
      </c>
    </row>
    <row r="52" spans="1:12" ht="42.75" x14ac:dyDescent="0.2">
      <c r="A52" s="85">
        <v>10</v>
      </c>
      <c r="B52" s="5" t="s">
        <v>109</v>
      </c>
      <c r="C52" s="103" t="s">
        <v>82</v>
      </c>
      <c r="D52" s="108" t="s">
        <v>231</v>
      </c>
      <c r="E52" s="56" t="s">
        <v>25</v>
      </c>
      <c r="F52" s="109">
        <v>71</v>
      </c>
      <c r="G52" s="30">
        <v>2039.64</v>
      </c>
      <c r="H52" s="86">
        <f t="shared" si="10"/>
        <v>144814.44</v>
      </c>
      <c r="I52" s="86">
        <f t="shared" si="11"/>
        <v>144814.44</v>
      </c>
    </row>
    <row r="53" spans="1:12" ht="42.75" x14ac:dyDescent="0.2">
      <c r="A53" s="85">
        <v>11</v>
      </c>
      <c r="B53" s="5" t="s">
        <v>177</v>
      </c>
      <c r="C53" s="103" t="s">
        <v>87</v>
      </c>
      <c r="D53" s="107" t="s">
        <v>232</v>
      </c>
      <c r="E53" s="56" t="s">
        <v>25</v>
      </c>
      <c r="F53" s="109">
        <v>1</v>
      </c>
      <c r="G53" s="30">
        <v>1821023.25</v>
      </c>
      <c r="H53" s="86">
        <f t="shared" si="10"/>
        <v>1821023.25</v>
      </c>
      <c r="I53" s="86">
        <f t="shared" si="11"/>
        <v>1821023.25</v>
      </c>
    </row>
    <row r="54" spans="1:12" ht="42.75" x14ac:dyDescent="0.2">
      <c r="A54" s="85">
        <v>12</v>
      </c>
      <c r="B54" s="5" t="s">
        <v>178</v>
      </c>
      <c r="C54" s="110" t="s">
        <v>87</v>
      </c>
      <c r="D54" s="107" t="s">
        <v>233</v>
      </c>
      <c r="E54" s="56" t="s">
        <v>25</v>
      </c>
      <c r="F54" s="111">
        <v>24</v>
      </c>
      <c r="G54" s="30">
        <v>624590.92000000004</v>
      </c>
      <c r="H54" s="86">
        <f t="shared" si="10"/>
        <v>14990182.080000002</v>
      </c>
      <c r="I54" s="86">
        <f t="shared" si="11"/>
        <v>14990182.080000002</v>
      </c>
    </row>
    <row r="55" spans="1:12" ht="42.75" x14ac:dyDescent="0.2">
      <c r="A55" s="85">
        <v>13</v>
      </c>
      <c r="B55" s="5" t="s">
        <v>179</v>
      </c>
      <c r="C55" s="110" t="s">
        <v>87</v>
      </c>
      <c r="D55" s="107" t="s">
        <v>234</v>
      </c>
      <c r="E55" s="56" t="s">
        <v>25</v>
      </c>
      <c r="F55" s="111">
        <v>24</v>
      </c>
      <c r="G55" s="30">
        <v>1119071.51</v>
      </c>
      <c r="H55" s="86">
        <f t="shared" si="10"/>
        <v>26857716.240000002</v>
      </c>
      <c r="I55" s="86">
        <f t="shared" si="11"/>
        <v>26857716.240000002</v>
      </c>
    </row>
    <row r="56" spans="1:12" ht="42.75" x14ac:dyDescent="0.2">
      <c r="A56" s="85">
        <v>14</v>
      </c>
      <c r="B56" s="5" t="s">
        <v>180</v>
      </c>
      <c r="C56" s="103" t="s">
        <v>82</v>
      </c>
      <c r="D56" s="108" t="s">
        <v>235</v>
      </c>
      <c r="E56" s="56" t="s">
        <v>25</v>
      </c>
      <c r="F56" s="109">
        <v>1</v>
      </c>
      <c r="G56" s="30">
        <v>2827557.55</v>
      </c>
      <c r="H56" s="86">
        <f t="shared" si="10"/>
        <v>2827557.55</v>
      </c>
      <c r="I56" s="86">
        <f t="shared" si="11"/>
        <v>2827557.55</v>
      </c>
    </row>
    <row r="57" spans="1:12" ht="30" x14ac:dyDescent="0.25">
      <c r="A57" s="62"/>
      <c r="B57" s="62"/>
      <c r="C57" s="99"/>
      <c r="D57" s="100" t="s">
        <v>43</v>
      </c>
      <c r="E57" s="63"/>
      <c r="F57" s="64"/>
      <c r="G57" s="86"/>
      <c r="H57" s="86"/>
      <c r="I57" s="10">
        <f>SUM(I43:I56)</f>
        <v>74072410.320000008</v>
      </c>
      <c r="J57" s="134">
        <f>I57</f>
        <v>74072410.320000008</v>
      </c>
      <c r="K57" s="134">
        <f>Калькуляция!I137</f>
        <v>67951008.38000001</v>
      </c>
      <c r="L57" s="134">
        <f>(J57-K57)/K57</f>
        <v>9.0085520229037652E-2</v>
      </c>
    </row>
    <row r="58" spans="1:12" ht="15" x14ac:dyDescent="0.25">
      <c r="A58" s="62"/>
      <c r="B58" s="62"/>
      <c r="C58" s="99"/>
      <c r="D58" s="100" t="s">
        <v>44</v>
      </c>
      <c r="E58" s="63"/>
      <c r="F58" s="64"/>
      <c r="G58" s="86"/>
      <c r="H58" s="86"/>
      <c r="I58" s="86"/>
    </row>
    <row r="59" spans="1:12" ht="30" x14ac:dyDescent="0.2">
      <c r="A59" s="60" t="s">
        <v>4</v>
      </c>
      <c r="B59" s="61" t="s">
        <v>211</v>
      </c>
      <c r="C59" s="61" t="s">
        <v>212</v>
      </c>
      <c r="D59" s="61" t="s">
        <v>213</v>
      </c>
      <c r="E59" s="60" t="s">
        <v>19</v>
      </c>
      <c r="F59" s="60" t="s">
        <v>18</v>
      </c>
      <c r="G59" s="60" t="s">
        <v>5</v>
      </c>
      <c r="H59" s="60" t="s">
        <v>14</v>
      </c>
      <c r="I59" s="60" t="s">
        <v>15</v>
      </c>
    </row>
    <row r="60" spans="1:12" x14ac:dyDescent="0.2">
      <c r="A60" s="62" t="s">
        <v>27</v>
      </c>
      <c r="B60" s="113" t="s">
        <v>83</v>
      </c>
      <c r="C60" s="63">
        <f>9*6*3</f>
        <v>162</v>
      </c>
      <c r="D60" s="63">
        <v>130</v>
      </c>
      <c r="E60" s="63" t="s">
        <v>52</v>
      </c>
      <c r="F60" s="64">
        <f t="shared" ref="F60:F69" si="12">C60*D60*8</f>
        <v>168480</v>
      </c>
      <c r="G60" s="86">
        <v>298</v>
      </c>
      <c r="H60" s="86"/>
      <c r="I60" s="86">
        <f t="shared" ref="I60:I69" si="13">ROUND(F60*G60,2)</f>
        <v>50207040</v>
      </c>
    </row>
    <row r="61" spans="1:12" x14ac:dyDescent="0.2">
      <c r="A61" s="62" t="s">
        <v>28</v>
      </c>
      <c r="B61" s="113" t="s">
        <v>45</v>
      </c>
      <c r="C61" s="63">
        <f>6</f>
        <v>6</v>
      </c>
      <c r="D61" s="63">
        <v>130</v>
      </c>
      <c r="E61" s="63" t="s">
        <v>52</v>
      </c>
      <c r="F61" s="64">
        <f t="shared" si="12"/>
        <v>6240</v>
      </c>
      <c r="G61" s="86">
        <v>540</v>
      </c>
      <c r="H61" s="86"/>
      <c r="I61" s="86">
        <f t="shared" si="13"/>
        <v>3369600</v>
      </c>
    </row>
    <row r="62" spans="1:12" x14ac:dyDescent="0.2">
      <c r="A62" s="62" t="s">
        <v>29</v>
      </c>
      <c r="B62" s="113" t="s">
        <v>46</v>
      </c>
      <c r="C62" s="63">
        <v>4</v>
      </c>
      <c r="D62" s="63">
        <v>130</v>
      </c>
      <c r="E62" s="63" t="s">
        <v>52</v>
      </c>
      <c r="F62" s="64">
        <f t="shared" si="12"/>
        <v>4160</v>
      </c>
      <c r="G62" s="86">
        <v>725</v>
      </c>
      <c r="H62" s="63"/>
      <c r="I62" s="86">
        <f t="shared" si="13"/>
        <v>3016000</v>
      </c>
    </row>
    <row r="63" spans="1:12" x14ac:dyDescent="0.2">
      <c r="A63" s="62" t="s">
        <v>30</v>
      </c>
      <c r="B63" s="113" t="s">
        <v>252</v>
      </c>
      <c r="C63" s="63">
        <v>5</v>
      </c>
      <c r="D63" s="63">
        <v>150</v>
      </c>
      <c r="E63" s="63" t="s">
        <v>52</v>
      </c>
      <c r="F63" s="64">
        <f t="shared" si="12"/>
        <v>6000</v>
      </c>
      <c r="G63" s="86">
        <v>680</v>
      </c>
      <c r="H63" s="86"/>
      <c r="I63" s="86">
        <f t="shared" si="13"/>
        <v>4080000</v>
      </c>
    </row>
    <row r="64" spans="1:12" x14ac:dyDescent="0.2">
      <c r="A64" s="62" t="s">
        <v>31</v>
      </c>
      <c r="B64" s="113" t="s">
        <v>253</v>
      </c>
      <c r="C64" s="63">
        <v>1</v>
      </c>
      <c r="D64" s="63">
        <v>150</v>
      </c>
      <c r="E64" s="63" t="s">
        <v>52</v>
      </c>
      <c r="F64" s="64">
        <f t="shared" si="12"/>
        <v>1200</v>
      </c>
      <c r="G64" s="86">
        <v>414.27</v>
      </c>
      <c r="H64" s="86"/>
      <c r="I64" s="86">
        <f t="shared" si="13"/>
        <v>497124</v>
      </c>
    </row>
    <row r="65" spans="1:12" x14ac:dyDescent="0.2">
      <c r="A65" s="62" t="s">
        <v>32</v>
      </c>
      <c r="B65" s="113" t="s">
        <v>86</v>
      </c>
      <c r="C65" s="63">
        <v>6</v>
      </c>
      <c r="D65" s="63">
        <v>110</v>
      </c>
      <c r="E65" s="63" t="s">
        <v>52</v>
      </c>
      <c r="F65" s="64">
        <f t="shared" si="12"/>
        <v>5280</v>
      </c>
      <c r="G65" s="86">
        <v>240</v>
      </c>
      <c r="H65" s="86"/>
      <c r="I65" s="86">
        <f t="shared" si="13"/>
        <v>1267200</v>
      </c>
    </row>
    <row r="66" spans="1:12" x14ac:dyDescent="0.2">
      <c r="A66" s="62" t="s">
        <v>33</v>
      </c>
      <c r="B66" s="113" t="s">
        <v>47</v>
      </c>
      <c r="C66" s="63">
        <v>1</v>
      </c>
      <c r="D66" s="63">
        <v>170</v>
      </c>
      <c r="E66" s="63" t="s">
        <v>52</v>
      </c>
      <c r="F66" s="64">
        <f t="shared" si="12"/>
        <v>1360</v>
      </c>
      <c r="G66" s="86">
        <v>820</v>
      </c>
      <c r="H66" s="86"/>
      <c r="I66" s="86">
        <f t="shared" si="13"/>
        <v>1115200</v>
      </c>
    </row>
    <row r="67" spans="1:12" x14ac:dyDescent="0.2">
      <c r="A67" s="62" t="s">
        <v>34</v>
      </c>
      <c r="B67" s="113" t="s">
        <v>240</v>
      </c>
      <c r="C67" s="63">
        <v>1</v>
      </c>
      <c r="D67" s="63">
        <v>160</v>
      </c>
      <c r="E67" s="63" t="s">
        <v>52</v>
      </c>
      <c r="F67" s="64">
        <f t="shared" si="12"/>
        <v>1280</v>
      </c>
      <c r="G67" s="86">
        <v>960</v>
      </c>
      <c r="H67" s="86"/>
      <c r="I67" s="86">
        <f t="shared" si="13"/>
        <v>1228800</v>
      </c>
    </row>
    <row r="68" spans="1:12" x14ac:dyDescent="0.2">
      <c r="A68" s="62" t="s">
        <v>38</v>
      </c>
      <c r="B68" s="113" t="s">
        <v>49</v>
      </c>
      <c r="C68" s="63">
        <v>3</v>
      </c>
      <c r="D68" s="63">
        <v>160</v>
      </c>
      <c r="E68" s="63" t="s">
        <v>52</v>
      </c>
      <c r="F68" s="64">
        <f t="shared" si="12"/>
        <v>3840</v>
      </c>
      <c r="G68" s="86">
        <v>674.4</v>
      </c>
      <c r="H68" s="86"/>
      <c r="I68" s="86">
        <f t="shared" si="13"/>
        <v>2589696</v>
      </c>
    </row>
    <row r="69" spans="1:12" x14ac:dyDescent="0.2">
      <c r="A69" s="62" t="s">
        <v>242</v>
      </c>
      <c r="B69" s="114" t="s">
        <v>50</v>
      </c>
      <c r="C69" s="63">
        <v>16</v>
      </c>
      <c r="D69" s="63">
        <v>110</v>
      </c>
      <c r="E69" s="63" t="s">
        <v>52</v>
      </c>
      <c r="F69" s="64">
        <f t="shared" si="12"/>
        <v>14080</v>
      </c>
      <c r="G69" s="86">
        <v>250</v>
      </c>
      <c r="H69" s="86"/>
      <c r="I69" s="86">
        <f t="shared" si="13"/>
        <v>3520000</v>
      </c>
    </row>
    <row r="70" spans="1:12" ht="15" x14ac:dyDescent="0.25">
      <c r="A70" s="62"/>
      <c r="B70" s="62"/>
      <c r="C70" s="99"/>
      <c r="D70" s="100" t="s">
        <v>54</v>
      </c>
      <c r="E70" s="63"/>
      <c r="F70" s="64"/>
      <c r="G70" s="86"/>
      <c r="H70" s="86"/>
      <c r="I70" s="86">
        <f>SUM(I60:I69)</f>
        <v>70890660</v>
      </c>
    </row>
    <row r="71" spans="1:12" ht="15" x14ac:dyDescent="0.25">
      <c r="A71" s="62"/>
      <c r="B71" s="62"/>
      <c r="C71" s="99"/>
      <c r="D71" s="115" t="s">
        <v>72</v>
      </c>
      <c r="E71" s="64"/>
      <c r="F71" s="64"/>
      <c r="G71" s="86"/>
      <c r="H71" s="86"/>
      <c r="I71" s="138">
        <f>ROUND(I70*0.302,2)</f>
        <v>21408979.32</v>
      </c>
      <c r="J71" s="134">
        <f>SUM(I70:I71)</f>
        <v>92299639.319999993</v>
      </c>
      <c r="K71" s="134">
        <f>Калькуляция!I153+Калькуляция!I154</f>
        <v>86988770.409999996</v>
      </c>
      <c r="L71" s="134">
        <f>(J71-K71)/K71</f>
        <v>6.105235060765353E-2</v>
      </c>
    </row>
    <row r="72" spans="1:12" ht="15" x14ac:dyDescent="0.25">
      <c r="A72" s="62"/>
      <c r="B72" s="62"/>
      <c r="C72" s="99"/>
      <c r="D72" s="115" t="s">
        <v>99</v>
      </c>
      <c r="E72" s="64"/>
      <c r="F72" s="64"/>
      <c r="G72" s="86"/>
      <c r="H72" s="86"/>
      <c r="I72" s="66"/>
    </row>
    <row r="73" spans="1:12" x14ac:dyDescent="0.2">
      <c r="A73" s="62" t="s">
        <v>27</v>
      </c>
      <c r="B73" s="62"/>
      <c r="C73" s="99"/>
      <c r="D73" s="63" t="s">
        <v>98</v>
      </c>
      <c r="E73" s="64" t="s">
        <v>25</v>
      </c>
      <c r="F73" s="64">
        <v>246</v>
      </c>
      <c r="G73" s="86">
        <v>217229.84</v>
      </c>
      <c r="H73" s="65">
        <f>G73*F73</f>
        <v>53438540.640000001</v>
      </c>
      <c r="I73" s="58">
        <f>H73</f>
        <v>53438540.640000001</v>
      </c>
      <c r="J73" s="134">
        <f>I73</f>
        <v>53438540.640000001</v>
      </c>
      <c r="K73" s="134">
        <f>Калькуляция!I156</f>
        <v>49550508.18</v>
      </c>
      <c r="L73" s="134">
        <f>(J73-K73)/K73</f>
        <v>7.846604611755166E-2</v>
      </c>
    </row>
    <row r="74" spans="1:12" ht="15" x14ac:dyDescent="0.25">
      <c r="A74" s="62"/>
      <c r="B74" s="62"/>
      <c r="C74" s="99"/>
      <c r="D74" s="100" t="s">
        <v>57</v>
      </c>
      <c r="E74" s="63"/>
      <c r="F74" s="64"/>
      <c r="G74" s="86"/>
      <c r="H74" s="86"/>
      <c r="I74" s="86"/>
    </row>
    <row r="75" spans="1:12" x14ac:dyDescent="0.2">
      <c r="A75" s="62" t="s">
        <v>27</v>
      </c>
      <c r="B75" s="62"/>
      <c r="C75" s="99"/>
      <c r="D75" s="118" t="s">
        <v>59</v>
      </c>
      <c r="E75" s="63" t="s">
        <v>58</v>
      </c>
      <c r="F75" s="64">
        <f>C69*1.5*2*D69</f>
        <v>5280</v>
      </c>
      <c r="G75" s="86">
        <v>550</v>
      </c>
      <c r="H75" s="86"/>
      <c r="I75" s="86">
        <f>F75*G75</f>
        <v>2904000</v>
      </c>
    </row>
    <row r="76" spans="1:12" ht="30" x14ac:dyDescent="0.25">
      <c r="A76" s="62"/>
      <c r="B76" s="62"/>
      <c r="C76" s="99"/>
      <c r="D76" s="100" t="s">
        <v>73</v>
      </c>
      <c r="E76" s="63"/>
      <c r="F76" s="64"/>
      <c r="G76" s="86"/>
      <c r="H76" s="86"/>
      <c r="I76" s="138">
        <f>I31+I40+I57+I70+I71+I75</f>
        <v>739810289.44000006</v>
      </c>
      <c r="J76" s="134">
        <f>I90/(I76-I57)</f>
        <v>7.9028400891872023E-3</v>
      </c>
    </row>
    <row r="77" spans="1:12" ht="15" x14ac:dyDescent="0.25">
      <c r="A77" s="62"/>
      <c r="B77" s="62"/>
      <c r="C77" s="99"/>
      <c r="D77" s="100" t="s">
        <v>74</v>
      </c>
      <c r="E77" s="63"/>
      <c r="F77" s="64"/>
      <c r="G77" s="86"/>
      <c r="H77" s="86"/>
      <c r="I77" s="86"/>
    </row>
    <row r="78" spans="1:12" x14ac:dyDescent="0.2">
      <c r="A78" s="62"/>
      <c r="B78" s="62"/>
      <c r="C78" s="99"/>
      <c r="D78" s="119" t="s">
        <v>254</v>
      </c>
      <c r="E78" s="119" t="s">
        <v>61</v>
      </c>
      <c r="F78" s="119">
        <v>9</v>
      </c>
      <c r="G78" s="119">
        <v>296100</v>
      </c>
      <c r="H78" s="86"/>
      <c r="I78" s="86">
        <f>F78*G78</f>
        <v>2664900</v>
      </c>
    </row>
    <row r="79" spans="1:12" x14ac:dyDescent="0.2">
      <c r="A79" s="62"/>
      <c r="B79" s="62"/>
      <c r="C79" s="99"/>
      <c r="D79" s="119" t="s">
        <v>255</v>
      </c>
      <c r="E79" s="119" t="s">
        <v>61</v>
      </c>
      <c r="F79" s="119">
        <v>9</v>
      </c>
      <c r="G79" s="119">
        <v>149700</v>
      </c>
      <c r="H79" s="86"/>
      <c r="I79" s="86">
        <f>F79*G79</f>
        <v>1347300</v>
      </c>
    </row>
    <row r="80" spans="1:12" x14ac:dyDescent="0.2">
      <c r="A80" s="62"/>
      <c r="B80" s="62"/>
      <c r="C80" s="99"/>
      <c r="D80" s="119" t="s">
        <v>63</v>
      </c>
      <c r="E80" s="119" t="s">
        <v>25</v>
      </c>
      <c r="F80" s="119">
        <v>1</v>
      </c>
      <c r="G80" s="86"/>
      <c r="H80" s="86"/>
      <c r="I80" s="86">
        <f>I89</f>
        <v>1249020</v>
      </c>
    </row>
    <row r="81" spans="1:9" x14ac:dyDescent="0.2">
      <c r="A81" s="62"/>
      <c r="B81" s="62"/>
      <c r="C81" s="99"/>
      <c r="D81" s="389" t="s">
        <v>64</v>
      </c>
      <c r="E81" s="389"/>
      <c r="F81" s="389"/>
      <c r="G81" s="86"/>
      <c r="H81" s="86"/>
      <c r="I81" s="86"/>
    </row>
    <row r="82" spans="1:9" x14ac:dyDescent="0.2">
      <c r="A82" s="62"/>
      <c r="B82" s="62"/>
      <c r="C82" s="99"/>
      <c r="D82" s="120" t="s">
        <v>81</v>
      </c>
      <c r="E82" s="56" t="s">
        <v>65</v>
      </c>
      <c r="F82" s="121" t="s">
        <v>66</v>
      </c>
      <c r="G82" s="121" t="s">
        <v>67</v>
      </c>
      <c r="H82" s="86"/>
      <c r="I82" s="86"/>
    </row>
    <row r="83" spans="1:9" x14ac:dyDescent="0.2">
      <c r="A83" s="62"/>
      <c r="B83" s="62"/>
      <c r="C83" s="99"/>
      <c r="D83" s="122" t="s">
        <v>68</v>
      </c>
      <c r="E83" s="2">
        <v>150000</v>
      </c>
      <c r="F83" s="122">
        <f>E83*12</f>
        <v>1800000</v>
      </c>
      <c r="G83" s="41">
        <v>7.9000000000000001E-2</v>
      </c>
      <c r="H83" s="86"/>
      <c r="I83" s="139">
        <f t="shared" ref="I83:I88" si="14">E83*G83</f>
        <v>11850</v>
      </c>
    </row>
    <row r="84" spans="1:9" x14ac:dyDescent="0.2">
      <c r="A84" s="62"/>
      <c r="B84" s="62"/>
      <c r="C84" s="99"/>
      <c r="D84" s="122" t="s">
        <v>69</v>
      </c>
      <c r="E84" s="2">
        <v>100000</v>
      </c>
      <c r="F84" s="122">
        <f t="shared" ref="F84:F88" si="15">E84*12</f>
        <v>1200000</v>
      </c>
      <c r="G84" s="41">
        <v>2.5999999999999999E-2</v>
      </c>
      <c r="H84" s="86"/>
      <c r="I84" s="139">
        <f t="shared" si="14"/>
        <v>2600</v>
      </c>
    </row>
    <row r="85" spans="1:9" x14ac:dyDescent="0.2">
      <c r="A85" s="62"/>
      <c r="B85" s="62"/>
      <c r="C85" s="99"/>
      <c r="D85" s="122" t="s">
        <v>51</v>
      </c>
      <c r="E85" s="2">
        <v>110000</v>
      </c>
      <c r="F85" s="122">
        <f t="shared" si="15"/>
        <v>1320000</v>
      </c>
      <c r="G85" s="41">
        <v>0.16300000000000001</v>
      </c>
      <c r="H85" s="86"/>
      <c r="I85" s="139">
        <f t="shared" si="14"/>
        <v>17930</v>
      </c>
    </row>
    <row r="86" spans="1:9" x14ac:dyDescent="0.2">
      <c r="A86" s="62"/>
      <c r="B86" s="62"/>
      <c r="C86" s="99"/>
      <c r="D86" s="122" t="s">
        <v>76</v>
      </c>
      <c r="E86" s="2">
        <v>85000</v>
      </c>
      <c r="F86" s="122">
        <f t="shared" si="15"/>
        <v>1020000</v>
      </c>
      <c r="G86" s="41">
        <v>0.82</v>
      </c>
      <c r="H86" s="86"/>
      <c r="I86" s="139">
        <f t="shared" si="14"/>
        <v>69700</v>
      </c>
    </row>
    <row r="87" spans="1:9" x14ac:dyDescent="0.2">
      <c r="A87" s="62"/>
      <c r="B87" s="62"/>
      <c r="C87" s="99"/>
      <c r="D87" s="122" t="s">
        <v>246</v>
      </c>
      <c r="E87" s="2">
        <v>75000</v>
      </c>
      <c r="F87" s="122">
        <f t="shared" si="15"/>
        <v>900000</v>
      </c>
      <c r="G87" s="41">
        <v>0.24</v>
      </c>
      <c r="H87" s="86"/>
      <c r="I87" s="139">
        <f t="shared" si="14"/>
        <v>18000</v>
      </c>
    </row>
    <row r="88" spans="1:9" x14ac:dyDescent="0.2">
      <c r="A88" s="62"/>
      <c r="B88" s="62"/>
      <c r="C88" s="99"/>
      <c r="D88" s="122" t="s">
        <v>256</v>
      </c>
      <c r="E88" s="2">
        <v>55000</v>
      </c>
      <c r="F88" s="122">
        <f t="shared" si="15"/>
        <v>660000</v>
      </c>
      <c r="G88" s="41">
        <v>0.34</v>
      </c>
      <c r="H88" s="86"/>
      <c r="I88" s="139">
        <f t="shared" si="14"/>
        <v>18700</v>
      </c>
    </row>
    <row r="89" spans="1:9" x14ac:dyDescent="0.2">
      <c r="A89" s="62"/>
      <c r="B89" s="62"/>
      <c r="C89" s="99"/>
      <c r="D89" s="390" t="s">
        <v>247</v>
      </c>
      <c r="E89" s="390"/>
      <c r="F89" s="390"/>
      <c r="G89" s="1"/>
      <c r="H89" s="86"/>
      <c r="I89" s="139">
        <f>SUM(I83:I88)*9</f>
        <v>1249020</v>
      </c>
    </row>
    <row r="90" spans="1:9" ht="15" x14ac:dyDescent="0.25">
      <c r="A90" s="62"/>
      <c r="B90" s="62"/>
      <c r="C90" s="99"/>
      <c r="D90" s="100" t="s">
        <v>77</v>
      </c>
      <c r="E90" s="63"/>
      <c r="F90" s="64"/>
      <c r="G90" s="86"/>
      <c r="H90" s="86"/>
      <c r="I90" s="138">
        <f>SUM(I78:I80)</f>
        <v>5261220</v>
      </c>
    </row>
    <row r="91" spans="1:9" ht="15" x14ac:dyDescent="0.25">
      <c r="A91" s="62"/>
      <c r="B91" s="62"/>
      <c r="C91" s="99"/>
      <c r="D91" s="124"/>
      <c r="E91" s="63"/>
      <c r="F91" s="64"/>
      <c r="G91" s="86"/>
      <c r="H91" s="86"/>
      <c r="I91" s="66"/>
    </row>
    <row r="92" spans="1:9" ht="15" x14ac:dyDescent="0.25">
      <c r="A92" s="62"/>
      <c r="B92" s="62"/>
      <c r="C92" s="99"/>
      <c r="D92" s="124" t="s">
        <v>248</v>
      </c>
      <c r="E92" s="63"/>
      <c r="F92" s="64"/>
      <c r="G92" s="86"/>
      <c r="H92" s="86"/>
      <c r="I92" s="138">
        <f>I76+I90+I73</f>
        <v>798510050.08000004</v>
      </c>
    </row>
    <row r="93" spans="1:9" ht="15" x14ac:dyDescent="0.25">
      <c r="A93" s="62"/>
      <c r="B93" s="62"/>
      <c r="C93" s="99"/>
      <c r="D93" s="124" t="s">
        <v>257</v>
      </c>
      <c r="E93" s="63" t="s">
        <v>176</v>
      </c>
      <c r="F93" s="209">
        <v>5</v>
      </c>
      <c r="G93" s="86"/>
      <c r="H93" s="86"/>
      <c r="I93" s="66">
        <f>ROUND((I92-I73-I31)*F93%,2)</f>
        <v>12150361.82</v>
      </c>
    </row>
    <row r="94" spans="1:9" ht="15" x14ac:dyDescent="0.25">
      <c r="A94" s="62"/>
      <c r="B94" s="62"/>
      <c r="C94" s="99"/>
      <c r="D94" s="124" t="s">
        <v>79</v>
      </c>
      <c r="E94" s="63" t="s">
        <v>176</v>
      </c>
      <c r="F94" s="64">
        <v>20</v>
      </c>
      <c r="G94" s="86"/>
      <c r="H94" s="86"/>
      <c r="I94" s="66">
        <f>ROUND((I92+I93-I57*(1+F93%))*0.2,2)</f>
        <v>146576876.21000001</v>
      </c>
    </row>
    <row r="95" spans="1:9" ht="15" x14ac:dyDescent="0.25">
      <c r="A95" s="62"/>
      <c r="B95" s="62"/>
      <c r="C95" s="99"/>
      <c r="D95" s="124" t="s">
        <v>80</v>
      </c>
      <c r="E95" s="63"/>
      <c r="F95" s="64"/>
      <c r="G95" s="86"/>
      <c r="H95" s="86"/>
      <c r="I95" s="138">
        <f>SUM(I92:I94)</f>
        <v>957237288.11000013</v>
      </c>
    </row>
    <row r="96" spans="1:9" ht="15" x14ac:dyDescent="0.25">
      <c r="I96" s="132">
        <f>I97-I95</f>
        <v>120811204.12999964</v>
      </c>
    </row>
    <row r="97" spans="6:10" ht="15" x14ac:dyDescent="0.25">
      <c r="F97" s="70"/>
      <c r="I97" s="133">
        <v>1078048492.2399998</v>
      </c>
    </row>
    <row r="98" spans="6:10" x14ac:dyDescent="0.2">
      <c r="F98" s="70"/>
      <c r="I98" s="134">
        <f>Калькуляция!I178</f>
        <v>837855824.88</v>
      </c>
      <c r="J98" s="135">
        <f>(I95-I98)/I98</f>
        <v>0.14248449397257371</v>
      </c>
    </row>
    <row r="99" spans="6:10" x14ac:dyDescent="0.2">
      <c r="F99" s="70"/>
    </row>
    <row r="100" spans="6:10" x14ac:dyDescent="0.2">
      <c r="F100" s="70"/>
    </row>
  </sheetData>
  <mergeCells count="20">
    <mergeCell ref="A15:A18"/>
    <mergeCell ref="B15:B18"/>
    <mergeCell ref="A3:A6"/>
    <mergeCell ref="B3:B6"/>
    <mergeCell ref="A7:A10"/>
    <mergeCell ref="B7:B10"/>
    <mergeCell ref="A11:A14"/>
    <mergeCell ref="B11:B14"/>
    <mergeCell ref="A22:A24"/>
    <mergeCell ref="B22:B24"/>
    <mergeCell ref="D81:F81"/>
    <mergeCell ref="D89:F89"/>
    <mergeCell ref="A19:A21"/>
    <mergeCell ref="B19:B21"/>
    <mergeCell ref="A29:A30"/>
    <mergeCell ref="B29:B30"/>
    <mergeCell ref="A27:A28"/>
    <mergeCell ref="B27:B28"/>
    <mergeCell ref="A25:A26"/>
    <mergeCell ref="B25:B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План</vt:lpstr>
      <vt:lpstr>Калькуляция</vt:lpstr>
      <vt:lpstr>Калькуляция1</vt:lpstr>
      <vt:lpstr>Калькуляция2</vt:lpstr>
      <vt:lpstr>План!Область_печати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rusla</dc:creator>
  <cp:lastModifiedBy>Бобков Владимир Валерьевич</cp:lastModifiedBy>
  <cp:lastPrinted>2021-02-16T05:33:12Z</cp:lastPrinted>
  <dcterms:created xsi:type="dcterms:W3CDTF">2019-06-06T11:41:22Z</dcterms:created>
  <dcterms:modified xsi:type="dcterms:W3CDTF">2021-02-24T05:47:20Z</dcterms:modified>
</cp:coreProperties>
</file>