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701"/>
  </bookViews>
  <sheets>
    <sheet name="Сводная ИТОГО" sheetId="1" r:id="rId1"/>
    <sheet name="Расчет работ МРР" sheetId="30" r:id="rId2"/>
    <sheet name="свод Оборудования" sheetId="41" r:id="rId3"/>
    <sheet name="расчет оборудования" sheetId="42" r:id="rId4"/>
  </sheets>
  <definedNames>
    <definedName name="_xlnm._FilterDatabase" localSheetId="3" hidden="1">'расчет оборудования'!$A$4:$O$28</definedName>
    <definedName name="_xlnm._FilterDatabase" localSheetId="1" hidden="1">'Расчет работ МРР'!$A$5:$H$29</definedName>
    <definedName name="_xlnm.Print_Area" localSheetId="2">'свод Оборудования'!$A$1:$H$24</definedName>
  </definedNames>
  <calcPr calcId="162913" refMode="R1C1"/>
</workbook>
</file>

<file path=xl/calcChain.xml><?xml version="1.0" encoding="utf-8"?>
<calcChain xmlns="http://schemas.openxmlformats.org/spreadsheetml/2006/main">
  <c r="D14" i="1" l="1"/>
  <c r="D13" i="1"/>
  <c r="D12" i="1"/>
  <c r="D11" i="1"/>
  <c r="B11" i="1" l="1"/>
  <c r="C11" i="1"/>
  <c r="C12" i="1"/>
  <c r="C13" i="1"/>
  <c r="C14" i="1"/>
  <c r="C15" i="1"/>
  <c r="F14" i="41"/>
  <c r="E14" i="1"/>
  <c r="E13" i="1"/>
  <c r="E11" i="1"/>
  <c r="F48" i="30"/>
  <c r="F45" i="30"/>
  <c r="F44" i="30"/>
  <c r="F43" i="30"/>
  <c r="E12" i="1"/>
  <c r="O69" i="42"/>
  <c r="O68" i="42"/>
  <c r="O63" i="42"/>
  <c r="O58" i="42"/>
  <c r="O53" i="42"/>
  <c r="O48" i="42"/>
  <c r="O43" i="42"/>
  <c r="O38" i="42"/>
  <c r="O33" i="42"/>
  <c r="O28" i="42"/>
  <c r="O23" i="42"/>
  <c r="O18" i="42"/>
  <c r="O13" i="42"/>
  <c r="E11" i="41"/>
  <c r="E13" i="41"/>
  <c r="D13" i="41"/>
  <c r="D12" i="41"/>
  <c r="E12" i="41"/>
  <c r="D11" i="41"/>
  <c r="D10" i="41"/>
  <c r="E10" i="41"/>
  <c r="C13" i="41"/>
  <c r="C12" i="41"/>
  <c r="C11" i="41"/>
  <c r="C10" i="41"/>
  <c r="C9" i="41"/>
  <c r="C8" i="41"/>
  <c r="C7" i="41"/>
  <c r="C6" i="41"/>
  <c r="C5" i="41"/>
  <c r="C4" i="41"/>
  <c r="B13" i="41"/>
  <c r="B12" i="41"/>
  <c r="B11" i="41"/>
  <c r="B10" i="41"/>
  <c r="B9" i="41"/>
  <c r="B8" i="41"/>
  <c r="B7" i="41"/>
  <c r="B6" i="41"/>
  <c r="B5" i="41"/>
  <c r="B4" i="41"/>
  <c r="B3" i="41"/>
  <c r="B2" i="41"/>
  <c r="C2" i="41"/>
  <c r="D2" i="41"/>
  <c r="E2" i="41"/>
  <c r="C3" i="41"/>
  <c r="D3" i="41"/>
  <c r="D4" i="41"/>
  <c r="E4" i="41"/>
  <c r="D5" i="41"/>
  <c r="E5" i="41"/>
  <c r="N69" i="42"/>
  <c r="E3" i="41"/>
  <c r="M67" i="42"/>
  <c r="I67" i="42"/>
  <c r="E67" i="42"/>
  <c r="M62" i="42"/>
  <c r="I62" i="42"/>
  <c r="E62" i="42"/>
  <c r="M57" i="42"/>
  <c r="I57" i="42"/>
  <c r="E57" i="42"/>
  <c r="M52" i="42"/>
  <c r="I52" i="42"/>
  <c r="E52" i="42"/>
  <c r="N52" i="42"/>
  <c r="N53" i="42"/>
  <c r="N62" i="42"/>
  <c r="N63" i="42"/>
  <c r="N57" i="42"/>
  <c r="N58" i="42"/>
  <c r="N67" i="42"/>
  <c r="N68" i="42"/>
  <c r="C54" i="30"/>
  <c r="H37" i="30"/>
  <c r="C52" i="30"/>
  <c r="E13" i="30"/>
  <c r="C53" i="30"/>
  <c r="H36" i="30"/>
  <c r="E29" i="30"/>
  <c r="H35" i="30"/>
  <c r="H19" i="30"/>
  <c r="H28" i="30"/>
  <c r="H27" i="30"/>
  <c r="H26" i="30"/>
  <c r="H25" i="30"/>
  <c r="H24" i="30"/>
  <c r="H23" i="30"/>
  <c r="H20" i="30"/>
  <c r="H18" i="30"/>
  <c r="H17" i="30"/>
  <c r="H16" i="30"/>
  <c r="H15" i="30"/>
  <c r="H14" i="30"/>
  <c r="H21" i="30"/>
  <c r="E12" i="42"/>
  <c r="I12" i="42"/>
  <c r="M12" i="42"/>
  <c r="E17" i="42"/>
  <c r="I17" i="42"/>
  <c r="M17" i="42"/>
  <c r="E22" i="42"/>
  <c r="I22" i="42"/>
  <c r="M22" i="42"/>
  <c r="E27" i="42"/>
  <c r="I27" i="42"/>
  <c r="M27" i="42"/>
  <c r="E32" i="42"/>
  <c r="I32" i="42"/>
  <c r="M32" i="42"/>
  <c r="E37" i="42"/>
  <c r="M37" i="42"/>
  <c r="E42" i="42"/>
  <c r="I42" i="42"/>
  <c r="M42" i="42"/>
  <c r="E47" i="42"/>
  <c r="I47" i="42"/>
  <c r="M47" i="42"/>
  <c r="N42" i="42"/>
  <c r="D8" i="41"/>
  <c r="E8" i="41"/>
  <c r="N17" i="42"/>
  <c r="I37" i="42"/>
  <c r="N37" i="42"/>
  <c r="N27" i="42"/>
  <c r="N28" i="42"/>
  <c r="N47" i="42"/>
  <c r="D9" i="41"/>
  <c r="E9" i="41"/>
  <c r="N22" i="42"/>
  <c r="N23" i="42"/>
  <c r="N32" i="42"/>
  <c r="D6" i="41"/>
  <c r="E6" i="41"/>
  <c r="N12" i="42"/>
  <c r="N43" i="42"/>
  <c r="N18" i="42"/>
  <c r="N33" i="42"/>
  <c r="D7" i="41"/>
  <c r="E7" i="41"/>
  <c r="E14" i="41"/>
  <c r="N38" i="42"/>
  <c r="N13" i="42"/>
  <c r="N48" i="42"/>
  <c r="F22" i="30"/>
  <c r="H22" i="30"/>
  <c r="C51" i="30"/>
  <c r="C55" i="30"/>
  <c r="F29" i="30"/>
  <c r="H29" i="30"/>
  <c r="F13" i="30"/>
  <c r="D37" i="30"/>
  <c r="D36" i="30"/>
  <c r="D35" i="30"/>
  <c r="G35" i="30"/>
  <c r="G37" i="30"/>
  <c r="G36" i="30"/>
  <c r="I36" i="30"/>
  <c r="I35" i="30"/>
  <c r="I37" i="30"/>
  <c r="H10" i="30"/>
  <c r="H9" i="30"/>
  <c r="H8" i="30"/>
  <c r="H7" i="30"/>
  <c r="H12" i="30"/>
  <c r="H11" i="30"/>
  <c r="J37" i="30"/>
  <c r="K37" i="30"/>
  <c r="H13" i="30"/>
  <c r="J35" i="30"/>
  <c r="K35" i="30"/>
  <c r="J36" i="30"/>
  <c r="K36" i="30"/>
  <c r="D45" i="30"/>
  <c r="B43" i="30"/>
  <c r="D44" i="30"/>
  <c r="E44" i="30"/>
  <c r="E45" i="30"/>
  <c r="B45" i="30"/>
  <c r="B44" i="30"/>
  <c r="D43" i="30"/>
  <c r="E43" i="30"/>
  <c r="D46" i="30"/>
  <c r="E15" i="1"/>
  <c r="E46" i="30"/>
  <c r="D48" i="30"/>
  <c r="D47" i="30"/>
  <c r="D15" i="1"/>
</calcChain>
</file>

<file path=xl/sharedStrings.xml><?xml version="1.0" encoding="utf-8"?>
<sst xmlns="http://schemas.openxmlformats.org/spreadsheetml/2006/main" count="245" uniqueCount="151">
  <si>
    <t>ИТОГО:</t>
  </si>
  <si>
    <t>Итого</t>
  </si>
  <si>
    <t>Наименование товара, тех. характеристики</t>
  </si>
  <si>
    <t>Кол-во</t>
  </si>
  <si>
    <t>Сумма, руб.</t>
  </si>
  <si>
    <t>Состав работ</t>
  </si>
  <si>
    <t xml:space="preserve">Поставка оборудования и ПО </t>
  </si>
  <si>
    <t>№ п/п</t>
  </si>
  <si>
    <t>Расчет коэффициента квалификации (участия) исполнителей, участвующих в выполнении работ (услуг)</t>
  </si>
  <si>
    <t>№п/п</t>
  </si>
  <si>
    <t>Наименование должностей исполнителей (наименование должности по МРР)</t>
  </si>
  <si>
    <t>Руководитель проекта (начальник отдела)</t>
  </si>
  <si>
    <t>Специалист по информационной безопасности (ведущий специалист)</t>
  </si>
  <si>
    <t>Ведущий аналитик</t>
  </si>
  <si>
    <t>Ведущий технический писатель</t>
  </si>
  <si>
    <t>Ведущий инженер</t>
  </si>
  <si>
    <t>Ведущий тестировщик</t>
  </si>
  <si>
    <t>Ведущий монтажник</t>
  </si>
  <si>
    <t>Системный администратор (ведущий специалист)</t>
  </si>
  <si>
    <t>Расчет себестоимости работ (услуг) в базовом уровне цен</t>
  </si>
  <si>
    <t>Определение стоимости работ (услуг) в текущих ценах</t>
  </si>
  <si>
    <t>Без НДС</t>
  </si>
  <si>
    <t>НДС</t>
  </si>
  <si>
    <t>С НДС</t>
  </si>
  <si>
    <t>Этап</t>
  </si>
  <si>
    <t>Календарных дней</t>
  </si>
  <si>
    <t xml:space="preserve">Рабочих дней </t>
  </si>
  <si>
    <t>Главный архитектор проекта</t>
  </si>
  <si>
    <t>Поставка оборудования и ПО</t>
  </si>
  <si>
    <r>
      <t xml:space="preserve">Фактическое время участия исполнителя в работе, дни </t>
    </r>
    <r>
      <rPr>
        <b/>
        <sz val="10"/>
        <rFont val="Times New Roman"/>
        <family val="1"/>
        <charset val="204"/>
      </rPr>
      <t>Тф</t>
    </r>
  </si>
  <si>
    <r>
      <t xml:space="preserve">Численность исполнителей одинаковой квалификации, чел. </t>
    </r>
    <r>
      <rPr>
        <b/>
        <sz val="10"/>
        <rFont val="Times New Roman"/>
        <family val="1"/>
        <charset val="204"/>
      </rPr>
      <t>Чi</t>
    </r>
  </si>
  <si>
    <t>Индекс квалификации непосредственных исполнителей</t>
  </si>
  <si>
    <r>
      <t xml:space="preserve">Коэффициент квалификации - участия
 </t>
    </r>
    <r>
      <rPr>
        <b/>
        <sz val="10"/>
        <rFont val="Times New Roman"/>
        <family val="1"/>
        <charset val="204"/>
      </rPr>
      <t>Ккв(уч)</t>
    </r>
    <r>
      <rPr>
        <sz val="10"/>
        <rFont val="Times New Roman"/>
        <family val="1"/>
        <charset val="204"/>
      </rPr>
      <t xml:space="preserve">
∑(гр4:гр5хгр6хгр7)/∑гр6</t>
    </r>
  </si>
  <si>
    <t>Кол-во рабочих дней в месяце, дни</t>
  </si>
  <si>
    <t>Базовая среднедневная зарплата исполнителей, руб. (гр.2/гр.3)</t>
  </si>
  <si>
    <r>
      <t>Рентабельность,</t>
    </r>
    <r>
      <rPr>
        <b/>
        <sz val="10"/>
        <rFont val="Times New Roman"/>
        <family val="1"/>
        <charset val="204"/>
      </rPr>
      <t xml:space="preserve"> Р</t>
    </r>
  </si>
  <si>
    <r>
      <t xml:space="preserve">Базовая среднедневная единичная выработка, руб. </t>
    </r>
    <r>
      <rPr>
        <b/>
        <sz val="10"/>
        <rFont val="Times New Roman"/>
        <family val="1"/>
        <charset val="204"/>
      </rPr>
      <t xml:space="preserve">Вср.дн. </t>
    </r>
    <r>
      <rPr>
        <sz val="10"/>
        <rFont val="Times New Roman"/>
        <family val="1"/>
        <charset val="204"/>
      </rPr>
      <t>, (гр.4х(1+гр.6))/гр.5</t>
    </r>
  </si>
  <si>
    <r>
      <t xml:space="preserve">Общая продолжительность выполнения работы, руб. </t>
    </r>
    <r>
      <rPr>
        <b/>
        <sz val="10"/>
        <rFont val="Times New Roman"/>
        <family val="1"/>
        <charset val="204"/>
      </rPr>
      <t>Тобщ</t>
    </r>
  </si>
  <si>
    <t>Базовая цена, руб. Цб</t>
  </si>
  <si>
    <t>Стоимость выполняемых работ с НДС, (руб.)</t>
  </si>
  <si>
    <t>Итого:</t>
  </si>
  <si>
    <t>8</t>
  </si>
  <si>
    <t>7</t>
  </si>
  <si>
    <t>6</t>
  </si>
  <si>
    <t>5</t>
  </si>
  <si>
    <t>4</t>
  </si>
  <si>
    <t>3</t>
  </si>
  <si>
    <t>2</t>
  </si>
  <si>
    <t>1</t>
  </si>
  <si>
    <t>Наименование Товара</t>
  </si>
  <si>
    <t>Способ определения поставщика: электронный аукцион</t>
  </si>
  <si>
    <t>ИТОГО ТОВАРЫ:</t>
  </si>
  <si>
    <t>нет</t>
  </si>
  <si>
    <t xml:space="preserve">Цена за ед.товара </t>
  </si>
  <si>
    <t>Производитель, модель</t>
  </si>
  <si>
    <t>Кол-во ед. товара, комплектов</t>
  </si>
  <si>
    <t>Сведения о цене на аналогичные (сопоставимые) товары, содержащиеся в подсистеме "Портал Поставщиков" ЕАИСТ</t>
  </si>
  <si>
    <t>Начальная (максимальная) цена</t>
  </si>
  <si>
    <t>Средняя цена за единицу</t>
  </si>
  <si>
    <t>Цены поставщиков</t>
  </si>
  <si>
    <t>Категории</t>
  </si>
  <si>
    <t>Таблица расчета начальной (максимальной) цены договора (цены лота)</t>
  </si>
  <si>
    <t>Континент</t>
  </si>
  <si>
    <t xml:space="preserve">№1
</t>
  </si>
  <si>
    <t xml:space="preserve">№2
</t>
  </si>
  <si>
    <t xml:space="preserve">№3
</t>
  </si>
  <si>
    <t>VipNet</t>
  </si>
  <si>
    <t>С-Терра</t>
  </si>
  <si>
    <t>3.1.</t>
  </si>
  <si>
    <t>3.2.</t>
  </si>
  <si>
    <t>1.</t>
  </si>
  <si>
    <t>2.</t>
  </si>
  <si>
    <t>Коэффициент пересчета (инфляционного изменения) базовой цены в текущий уровень цен на II квартал 2020 года</t>
  </si>
  <si>
    <t>Стоимость выполняемых работ в текущих ценах II кв.2020 года (гр.2хгр.3), без НДС (руб.)</t>
  </si>
  <si>
    <t>% от НМЦК</t>
  </si>
  <si>
    <t>цена за единицу товара, руб.</t>
  </si>
  <si>
    <r>
      <t xml:space="preserve">Общая продолжительность выполнения работы, дни, </t>
    </r>
    <r>
      <rPr>
        <b/>
        <sz val="10"/>
        <rFont val="Times New Roman"/>
        <family val="1"/>
        <charset val="204"/>
      </rPr>
      <t>Тобщ</t>
    </r>
  </si>
  <si>
    <r>
      <t xml:space="preserve">Базовая среднемесячная нормативная зарплата исполнителей, руб. </t>
    </r>
    <r>
      <rPr>
        <b/>
        <sz val="10"/>
        <rFont val="Times New Roman"/>
        <family val="1"/>
        <charset val="204"/>
      </rPr>
      <t>ЗПср.</t>
    </r>
    <r>
      <rPr>
        <b/>
        <sz val="8"/>
        <color theme="1"/>
        <rFont val="Times New Roman"/>
        <family val="1"/>
        <charset val="204"/>
      </rPr>
      <t/>
    </r>
  </si>
  <si>
    <r>
      <t xml:space="preserve">Удельный вес зарплаты в себестоимости работ </t>
    </r>
    <r>
      <rPr>
        <b/>
        <sz val="10"/>
        <rFont val="Times New Roman"/>
        <family val="1"/>
        <charset val="204"/>
      </rPr>
      <t>Кз</t>
    </r>
  </si>
  <si>
    <r>
      <t xml:space="preserve">Численность исполнителей, чел. </t>
    </r>
    <r>
      <rPr>
        <b/>
        <sz val="10"/>
        <rFont val="Times New Roman"/>
        <family val="1"/>
        <charset val="204"/>
      </rPr>
      <t>Чп</t>
    </r>
  </si>
  <si>
    <r>
      <t xml:space="preserve">Коэффициент квалификации (участия) </t>
    </r>
    <r>
      <rPr>
        <b/>
        <sz val="10"/>
        <rFont val="Times New Roman"/>
        <family val="1"/>
        <charset val="204"/>
      </rPr>
      <t>Ккв-уч</t>
    </r>
  </si>
  <si>
    <r>
      <t xml:space="preserve">Базовая цена, руб. </t>
    </r>
    <r>
      <rPr>
        <b/>
        <sz val="10"/>
        <rFont val="Times New Roman"/>
        <family val="1"/>
        <charset val="204"/>
      </rPr>
      <t>Цб (гр.7хгр.8хгр.9хгр.10)</t>
    </r>
  </si>
  <si>
    <t>анализа цен, содержащихся в реестре контрактов, заключенных по итогам осуществления закупок</t>
  </si>
  <si>
    <r>
      <t xml:space="preserve">Способ закупки: </t>
    </r>
    <r>
      <rPr>
        <b/>
        <sz val="12"/>
        <color theme="1"/>
        <rFont val="Times New Roman"/>
        <family val="1"/>
        <charset val="204"/>
      </rPr>
      <t>Аукцион в электронной форме, участниками которого могут быть только субъекты малого и среднего предпринимательства.</t>
    </r>
  </si>
  <si>
    <t>№
п/п</t>
  </si>
  <si>
    <t>Сумма, с НДС,
руб.</t>
  </si>
  <si>
    <t>на закупку работ, услуг с использованием завтратного метода и метода</t>
  </si>
  <si>
    <t>Наименование видов работ</t>
  </si>
  <si>
    <t>Обследование АПК «ВИФИД» и разработка (проектирование) КЗИ</t>
  </si>
  <si>
    <t>Внедрение КЗИ</t>
  </si>
  <si>
    <t>Аттестация АПК «ВИФИД» по требованиям защиты информации</t>
  </si>
  <si>
    <t>Уровень вычислительной инфраструктуры</t>
  </si>
  <si>
    <t>Уровень сетевой инфраструктуры</t>
  </si>
  <si>
    <t>Модуль (система) антивирусной защиты (САЗ)</t>
  </si>
  <si>
    <t>Модуль (система) защиты от несанкционированного доступа (СЗИ НСД)</t>
  </si>
  <si>
    <t>Модуль (система) межсетевого экранирования и обнаружения вторжений (СМЭ)</t>
  </si>
  <si>
    <t xml:space="preserve">Модуль (система) криптографической защиты (СКЗИ)
</t>
  </si>
  <si>
    <t>Модуль (система) контроля (анализа) защищенности (СКАЗ)</t>
  </si>
  <si>
    <t>Модуль (система) мониторинга событий информационной безопасности (СМСИБ)</t>
  </si>
  <si>
    <t>Модуль (система) контроля привилегированных пользователей (СКПП)</t>
  </si>
  <si>
    <t>Модуль (средство) доверенной загрузки (СДЗ)</t>
  </si>
  <si>
    <t>Модуль (система) резервного копирования (СРК)</t>
  </si>
  <si>
    <t>Модуль (система) защиты среды виртуализации (СЗСВ)</t>
  </si>
  <si>
    <t>iRU ROCK, Infortrend</t>
  </si>
  <si>
    <t>DEPO</t>
  </si>
  <si>
    <t xml:space="preserve">Kraftway </t>
  </si>
  <si>
    <t>Arista</t>
  </si>
  <si>
    <t>Eset NOD</t>
  </si>
  <si>
    <t>Cisco</t>
  </si>
  <si>
    <t>Dr.Web</t>
  </si>
  <si>
    <t>Mellanox</t>
  </si>
  <si>
    <t>Kaspersky</t>
  </si>
  <si>
    <t>Secret Net</t>
  </si>
  <si>
    <t>CheckPoint</t>
  </si>
  <si>
    <t>Dallas Lock Linux</t>
  </si>
  <si>
    <t>FortiGate</t>
  </si>
  <si>
    <t>Dionis</t>
  </si>
  <si>
    <t>Diamond</t>
  </si>
  <si>
    <t>xSpider</t>
  </si>
  <si>
    <t>Security ArcSight</t>
  </si>
  <si>
    <t>Security Vision Siem</t>
  </si>
  <si>
    <t>RuSIEM</t>
  </si>
  <si>
    <t>RedCheck</t>
  </si>
  <si>
    <t>SafeInspect</t>
  </si>
  <si>
    <t>ПАК Соболь</t>
  </si>
  <si>
    <t>Arconis</t>
  </si>
  <si>
    <t>vGate</t>
  </si>
  <si>
    <t>Бастион</t>
  </si>
  <si>
    <t>Dallas Lock</t>
  </si>
  <si>
    <t>Veeam Backup</t>
  </si>
  <si>
    <t>Xсeedium Xsuite</t>
  </si>
  <si>
    <t>Аккорд</t>
  </si>
  <si>
    <t>Paragon Protect</t>
  </si>
  <si>
    <t>Vmware</t>
  </si>
  <si>
    <t>9</t>
  </si>
  <si>
    <t>10</t>
  </si>
  <si>
    <t>11</t>
  </si>
  <si>
    <t>12</t>
  </si>
  <si>
    <r>
      <t xml:space="preserve">Предмет закупки: </t>
    </r>
    <r>
      <rPr>
        <b/>
        <sz val="12"/>
        <color theme="1"/>
        <rFont val="Times New Roman"/>
        <family val="1"/>
        <charset val="204"/>
      </rPr>
      <t>Выполнение работ по созданию компонента защиты информации аппаратно-программного комплекса видеодетектирования и формирования индексных данных АО "Электронная Москва".</t>
    </r>
  </si>
  <si>
    <t>Проведение предварительных испытаний, опытной эксплуатации и приемочных испытаний КЗИ</t>
  </si>
  <si>
    <t>ИТОГО по п. 1:</t>
  </si>
  <si>
    <t>ИТОГО по п. 3:</t>
  </si>
  <si>
    <t>ИТОГО по п. 4:</t>
  </si>
  <si>
    <t>Директор департамента закупок 
АО "Электронная Москва" В.Н.Чурюкин</t>
  </si>
  <si>
    <t>Подпись _________________________</t>
  </si>
  <si>
    <t>Цена за единицу товара, с учетом понижающего коэффициента ГБУ ГАУИ, руб.</t>
  </si>
  <si>
    <t>Начальная (максимальная) цена за единицу товара, с учетом понижающего коэффициента ГБУ ГАУИ, руб.</t>
  </si>
  <si>
    <t>Стоимость выполняемых работ с НДС, с учетом понижающего коэффициента ГБУ ГАУИ, руб.</t>
  </si>
  <si>
    <t>Приложение
к протоколу начальной (максимальной)
цены договора (цены лота)</t>
  </si>
  <si>
    <t>Расчет начальной (максимальной) цены договора</t>
  </si>
  <si>
    <r>
      <t xml:space="preserve">На основании отрицательного заключения ГБУ "ГАУИ" от 28.09.2020 № 0267-4-2-1-280920 начальная (максимальная) цена договора принимается равной
237 801 998,13 руб. (двести тридцать семь миллионов восемьсот одна тысяча девятьсот девяносто восемь рублей 13 копеек), в т.ч. НДС — 41 216 635,24 руб. (сорок один миллион двести шестнадцать тысяч шестьсот тридцать пять рублей 24 копейки).
</t>
    </r>
    <r>
      <rPr>
        <sz val="12"/>
        <rFont val="Times New Roman"/>
        <family val="1"/>
        <charset val="204"/>
      </rPr>
      <t>Понижающий коэффициент составил 0,9512079925.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</si>
</sst>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_ ;[Red]\-#,##0.00\ 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charset val="204"/>
    </font>
    <font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2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theme="1"/>
      <name val="Times New Roman"/>
      <family val="2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3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3" fillId="0" borderId="0">
      <alignment horizontal="center"/>
    </xf>
    <xf numFmtId="0" fontId="6" fillId="0" borderId="1" applyBorder="0" applyAlignment="0">
      <alignment horizontal="center" wrapText="1"/>
    </xf>
    <xf numFmtId="0" fontId="3" fillId="0" borderId="0">
      <alignment horizontal="left" vertical="top"/>
    </xf>
    <xf numFmtId="0" fontId="3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>
      <alignment horizontal="right" vertical="top" wrapText="1"/>
    </xf>
    <xf numFmtId="0" fontId="11" fillId="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6" fillId="6" borderId="0" applyNumberFormat="0" applyBorder="0" applyAlignment="0" applyProtection="0"/>
    <xf numFmtId="0" fontId="7" fillId="0" borderId="0"/>
    <xf numFmtId="0" fontId="7" fillId="7" borderId="3" applyNumberFormat="0" applyFont="0" applyAlignment="0" applyProtection="0"/>
    <xf numFmtId="0" fontId="6" fillId="0" borderId="0"/>
    <xf numFmtId="0" fontId="17" fillId="0" borderId="0"/>
    <xf numFmtId="0" fontId="18" fillId="0" borderId="0"/>
    <xf numFmtId="0" fontId="13" fillId="0" borderId="0"/>
    <xf numFmtId="43" fontId="17" fillId="0" borderId="0" applyFont="0" applyFill="0" applyBorder="0" applyAlignment="0" applyProtection="0"/>
  </cellStyleXfs>
  <cellXfs count="157">
    <xf numFmtId="0" fontId="0" fillId="0" borderId="0" xfId="0"/>
    <xf numFmtId="0" fontId="12" fillId="0" borderId="0" xfId="0" applyFont="1"/>
    <xf numFmtId="0" fontId="12" fillId="0" borderId="0" xfId="0" applyFont="1" applyFill="1" applyAlignment="1">
      <alignment wrapText="1" shrinkToFit="1"/>
    </xf>
    <xf numFmtId="0" fontId="12" fillId="0" borderId="0" xfId="0" applyFont="1" applyFill="1"/>
    <xf numFmtId="0" fontId="3" fillId="4" borderId="0" xfId="0" applyFont="1" applyFill="1" applyAlignment="1">
      <alignment horizontal="center" vertical="center" wrapText="1"/>
    </xf>
    <xf numFmtId="16" fontId="3" fillId="4" borderId="0" xfId="0" applyNumberFormat="1" applyFont="1" applyFill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 wrapText="1"/>
    </xf>
    <xf numFmtId="44" fontId="3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1" fontId="14" fillId="4" borderId="8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4" fontId="3" fillId="4" borderId="0" xfId="2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22" fillId="0" borderId="0" xfId="28" applyFont="1" applyAlignment="1">
      <alignment wrapText="1"/>
    </xf>
    <xf numFmtId="0" fontId="22" fillId="0" borderId="0" xfId="29" applyFont="1" applyAlignment="1">
      <alignment wrapText="1"/>
    </xf>
    <xf numFmtId="0" fontId="26" fillId="0" borderId="0" xfId="28" applyFont="1" applyFill="1"/>
    <xf numFmtId="0" fontId="27" fillId="0" borderId="0" xfId="28" applyFont="1" applyFill="1"/>
    <xf numFmtId="0" fontId="5" fillId="0" borderId="0" xfId="28" applyFont="1" applyFill="1"/>
    <xf numFmtId="0" fontId="3" fillId="4" borderId="0" xfId="0" applyFont="1" applyFill="1" applyAlignment="1">
      <alignment horizontal="left" vertical="center" wrapText="1"/>
    </xf>
    <xf numFmtId="43" fontId="3" fillId="4" borderId="0" xfId="11" applyFont="1" applyFill="1" applyAlignment="1">
      <alignment horizontal="center" vertical="center" wrapText="1"/>
    </xf>
    <xf numFmtId="44" fontId="3" fillId="4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NumberFormat="1" applyFont="1" applyFill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 shrinkToFit="1"/>
    </xf>
    <xf numFmtId="0" fontId="14" fillId="4" borderId="0" xfId="0" applyFont="1" applyFill="1" applyAlignment="1">
      <alignment horizontal="left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8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3" fillId="4" borderId="8" xfId="0" quotePrefix="1" applyFont="1" applyFill="1" applyBorder="1" applyAlignment="1">
      <alignment horizontal="left" vertical="center" wrapText="1"/>
    </xf>
    <xf numFmtId="43" fontId="3" fillId="4" borderId="8" xfId="11" applyFont="1" applyFill="1" applyBorder="1" applyAlignment="1">
      <alignment horizontal="center" vertical="center" wrapText="1"/>
    </xf>
    <xf numFmtId="9" fontId="3" fillId="4" borderId="0" xfId="0" applyNumberFormat="1" applyFont="1" applyFill="1" applyAlignment="1">
      <alignment horizontal="center" vertical="center" wrapText="1"/>
    </xf>
    <xf numFmtId="44" fontId="3" fillId="4" borderId="0" xfId="23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/>
    </xf>
    <xf numFmtId="43" fontId="3" fillId="4" borderId="0" xfId="1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top" wrapText="1" shrinkToFi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165" fontId="3" fillId="4" borderId="0" xfId="0" applyNumberFormat="1" applyFont="1" applyFill="1" applyBorder="1"/>
    <xf numFmtId="0" fontId="3" fillId="4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justify" vertical="center"/>
    </xf>
    <xf numFmtId="0" fontId="0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25" fillId="0" borderId="0" xfId="30" applyFont="1" applyFill="1" applyAlignment="1">
      <alignment horizontal="left"/>
    </xf>
    <xf numFmtId="0" fontId="3" fillId="0" borderId="0" xfId="30" applyFont="1" applyFill="1" applyAlignment="1">
      <alignment horizontal="left"/>
    </xf>
    <xf numFmtId="0" fontId="3" fillId="0" borderId="0" xfId="30" applyFont="1" applyFill="1" applyAlignment="1">
      <alignment horizontal="left" wrapText="1"/>
    </xf>
    <xf numFmtId="0" fontId="3" fillId="0" borderId="0" xfId="30" applyFont="1" applyFill="1" applyAlignment="1">
      <alignment horizontal="right"/>
    </xf>
    <xf numFmtId="0" fontId="2" fillId="0" borderId="8" xfId="28" applyFont="1" applyFill="1" applyBorder="1" applyAlignment="1">
      <alignment horizontal="center" vertical="center" wrapText="1"/>
    </xf>
    <xf numFmtId="0" fontId="19" fillId="0" borderId="8" xfId="28" applyFont="1" applyFill="1" applyBorder="1" applyAlignment="1">
      <alignment horizontal="center" vertical="center" wrapText="1"/>
    </xf>
    <xf numFmtId="4" fontId="5" fillId="0" borderId="9" xfId="28" applyNumberFormat="1" applyFont="1" applyFill="1" applyBorder="1" applyAlignment="1">
      <alignment horizontal="right" vertical="center"/>
    </xf>
    <xf numFmtId="0" fontId="19" fillId="0" borderId="8" xfId="28" applyFont="1" applyFill="1" applyBorder="1" applyAlignment="1">
      <alignment vertical="center" wrapText="1"/>
    </xf>
    <xf numFmtId="4" fontId="26" fillId="0" borderId="0" xfId="28" applyNumberFormat="1" applyFont="1" applyFill="1" applyAlignment="1">
      <alignment wrapText="1"/>
    </xf>
    <xf numFmtId="4" fontId="26" fillId="0" borderId="0" xfId="28" applyNumberFormat="1" applyFont="1" applyFill="1"/>
    <xf numFmtId="166" fontId="2" fillId="0" borderId="8" xfId="28" applyNumberFormat="1" applyFont="1" applyFill="1" applyBorder="1" applyAlignment="1">
      <alignment horizontal="right"/>
    </xf>
    <xf numFmtId="4" fontId="5" fillId="0" borderId="8" xfId="28" applyNumberFormat="1" applyFont="1" applyFill="1" applyBorder="1" applyAlignment="1">
      <alignment horizontal="right" vertical="center"/>
    </xf>
    <xf numFmtId="0" fontId="26" fillId="0" borderId="8" xfId="28" applyFont="1" applyFill="1" applyBorder="1" applyAlignment="1">
      <alignment horizontal="right"/>
    </xf>
    <xf numFmtId="4" fontId="27" fillId="0" borderId="0" xfId="28" applyNumberFormat="1" applyFont="1" applyFill="1"/>
    <xf numFmtId="10" fontId="27" fillId="0" borderId="0" xfId="28" applyNumberFormat="1" applyFont="1" applyFill="1"/>
    <xf numFmtId="4" fontId="5" fillId="0" borderId="9" xfId="28" applyNumberFormat="1" applyFont="1" applyFill="1" applyBorder="1" applyAlignment="1">
      <alignment horizontal="center" vertical="center"/>
    </xf>
    <xf numFmtId="4" fontId="21" fillId="0" borderId="0" xfId="28" applyNumberFormat="1" applyFont="1" applyFill="1"/>
    <xf numFmtId="4" fontId="5" fillId="0" borderId="0" xfId="28" applyNumberFormat="1" applyFont="1" applyFill="1"/>
    <xf numFmtId="0" fontId="22" fillId="0" borderId="0" xfId="29" applyFont="1" applyFill="1" applyAlignment="1">
      <alignment wrapText="1"/>
    </xf>
    <xf numFmtId="49" fontId="23" fillId="0" borderId="1" xfId="29" applyNumberFormat="1" applyFont="1" applyFill="1" applyBorder="1" applyAlignment="1">
      <alignment horizontal="center" vertical="center" wrapText="1"/>
    </xf>
    <xf numFmtId="0" fontId="23" fillId="0" borderId="1" xfId="29" applyFont="1" applyFill="1" applyBorder="1" applyAlignment="1">
      <alignment horizontal="center" vertical="center" wrapText="1"/>
    </xf>
    <xf numFmtId="49" fontId="22" fillId="0" borderId="1" xfId="29" applyNumberFormat="1" applyFont="1" applyFill="1" applyBorder="1" applyAlignment="1">
      <alignment horizontal="center" vertical="center" wrapText="1"/>
    </xf>
    <xf numFmtId="4" fontId="24" fillId="0" borderId="1" xfId="28" applyNumberFormat="1" applyFont="1" applyFill="1" applyBorder="1" applyAlignment="1">
      <alignment horizontal="left" vertical="center" wrapText="1"/>
    </xf>
    <xf numFmtId="3" fontId="22" fillId="0" borderId="1" xfId="28" applyNumberFormat="1" applyFont="1" applyFill="1" applyBorder="1" applyAlignment="1">
      <alignment horizontal="center" vertical="center" wrapText="1"/>
    </xf>
    <xf numFmtId="4" fontId="22" fillId="0" borderId="1" xfId="28" applyNumberFormat="1" applyFont="1" applyFill="1" applyBorder="1" applyAlignment="1">
      <alignment horizontal="right" vertical="center" wrapText="1"/>
    </xf>
    <xf numFmtId="4" fontId="22" fillId="0" borderId="1" xfId="29" applyNumberFormat="1" applyFont="1" applyFill="1" applyBorder="1" applyAlignment="1">
      <alignment horizontal="right" vertical="center" wrapText="1"/>
    </xf>
    <xf numFmtId="0" fontId="22" fillId="0" borderId="1" xfId="28" applyFont="1" applyFill="1" applyBorder="1" applyAlignment="1">
      <alignment vertical="center" wrapText="1"/>
    </xf>
    <xf numFmtId="49" fontId="22" fillId="0" borderId="1" xfId="29" applyNumberFormat="1" applyFont="1" applyFill="1" applyBorder="1" applyAlignment="1">
      <alignment wrapText="1"/>
    </xf>
    <xf numFmtId="0" fontId="23" fillId="0" borderId="1" xfId="29" applyFont="1" applyFill="1" applyBorder="1" applyAlignment="1">
      <alignment horizontal="right" vertical="center" wrapText="1"/>
    </xf>
    <xf numFmtId="0" fontId="22" fillId="0" borderId="1" xfId="29" applyFont="1" applyFill="1" applyBorder="1" applyAlignment="1">
      <alignment vertical="center" wrapText="1"/>
    </xf>
    <xf numFmtId="4" fontId="19" fillId="0" borderId="1" xfId="29" applyNumberFormat="1" applyFont="1" applyBorder="1" applyAlignment="1">
      <alignment wrapText="1"/>
    </xf>
    <xf numFmtId="0" fontId="20" fillId="0" borderId="1" xfId="30" applyFont="1" applyFill="1" applyBorder="1" applyAlignment="1">
      <alignment horizontal="right" wrapText="1"/>
    </xf>
    <xf numFmtId="4" fontId="20" fillId="0" borderId="1" xfId="30" applyNumberFormat="1" applyFont="1" applyFill="1" applyBorder="1" applyAlignment="1">
      <alignment horizontal="right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 shrinkToFit="1"/>
    </xf>
    <xf numFmtId="43" fontId="12" fillId="0" borderId="0" xfId="0" applyNumberFormat="1" applyFont="1" applyFill="1"/>
    <xf numFmtId="0" fontId="29" fillId="0" borderId="0" xfId="0" applyFont="1" applyFill="1" applyAlignment="1">
      <alignment horizontal="justify" vertical="center"/>
    </xf>
    <xf numFmtId="0" fontId="0" fillId="0" borderId="0" xfId="0" applyFill="1"/>
    <xf numFmtId="0" fontId="30" fillId="0" borderId="0" xfId="0" applyFont="1" applyFill="1" applyAlignment="1">
      <alignment vertical="center"/>
    </xf>
    <xf numFmtId="0" fontId="3" fillId="4" borderId="8" xfId="0" applyNumberFormat="1" applyFont="1" applyFill="1" applyBorder="1" applyAlignment="1">
      <alignment horizontal="left" vertical="center" wrapText="1"/>
    </xf>
    <xf numFmtId="0" fontId="25" fillId="0" borderId="0" xfId="30" applyFont="1" applyAlignment="1">
      <alignment horizontal="left"/>
    </xf>
    <xf numFmtId="0" fontId="28" fillId="0" borderId="0" xfId="30" applyFont="1" applyAlignment="1">
      <alignment wrapText="1"/>
    </xf>
    <xf numFmtId="0" fontId="3" fillId="4" borderId="8" xfId="0" applyFont="1" applyFill="1" applyBorder="1" applyAlignment="1">
      <alignment horizontal="center" vertical="center" wrapText="1"/>
    </xf>
    <xf numFmtId="4" fontId="19" fillId="0" borderId="4" xfId="28" applyNumberFormat="1" applyFont="1" applyFill="1" applyBorder="1" applyAlignment="1">
      <alignment horizontal="right" vertical="center"/>
    </xf>
    <xf numFmtId="4" fontId="5" fillId="0" borderId="12" xfId="28" applyNumberFormat="1" applyFont="1" applyFill="1" applyBorder="1" applyAlignment="1">
      <alignment horizontal="right" vertical="center"/>
    </xf>
    <xf numFmtId="4" fontId="26" fillId="0" borderId="7" xfId="28" applyNumberFormat="1" applyFont="1" applyFill="1" applyBorder="1" applyAlignment="1">
      <alignment horizontal="right"/>
    </xf>
    <xf numFmtId="4" fontId="5" fillId="0" borderId="13" xfId="28" applyNumberFormat="1" applyFont="1" applyFill="1" applyBorder="1" applyAlignment="1">
      <alignment horizontal="right" vertical="center"/>
    </xf>
    <xf numFmtId="0" fontId="20" fillId="4" borderId="11" xfId="30" applyFont="1" applyFill="1" applyBorder="1" applyAlignment="1">
      <alignment horizontal="center" vertical="center" wrapText="1"/>
    </xf>
    <xf numFmtId="4" fontId="19" fillId="0" borderId="1" xfId="29" applyNumberFormat="1" applyFont="1" applyFill="1" applyBorder="1" applyAlignment="1">
      <alignment horizontal="right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43" fontId="29" fillId="0" borderId="1" xfId="2" applyNumberFormat="1" applyFont="1" applyFill="1" applyBorder="1" applyAlignment="1">
      <alignment horizontal="right" wrapText="1" shrinkToFit="1"/>
    </xf>
    <xf numFmtId="4" fontId="29" fillId="0" borderId="1" xfId="0" applyNumberFormat="1" applyFont="1" applyFill="1" applyBorder="1"/>
    <xf numFmtId="16" fontId="29" fillId="0" borderId="1" xfId="1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0" fontId="30" fillId="0" borderId="1" xfId="0" applyFont="1" applyFill="1" applyBorder="1" applyAlignment="1">
      <alignment horizontal="right" wrapText="1" shrinkToFit="1"/>
    </xf>
    <xf numFmtId="10" fontId="29" fillId="0" borderId="1" xfId="0" applyNumberFormat="1" applyFont="1" applyFill="1" applyBorder="1"/>
    <xf numFmtId="4" fontId="30" fillId="0" borderId="1" xfId="0" applyNumberFormat="1" applyFont="1" applyFill="1" applyBorder="1"/>
    <xf numFmtId="4" fontId="12" fillId="0" borderId="1" xfId="0" applyNumberFormat="1" applyFont="1" applyFill="1" applyBorder="1"/>
    <xf numFmtId="0" fontId="28" fillId="0" borderId="0" xfId="30" applyFont="1" applyAlignment="1">
      <alignment horizontal="left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30" applyFont="1" applyAlignment="1">
      <alignment horizontal="left" vertical="top" wrapText="1"/>
    </xf>
    <xf numFmtId="1" fontId="14" fillId="4" borderId="8" xfId="0" applyNumberFormat="1" applyFont="1" applyFill="1" applyBorder="1" applyAlignment="1">
      <alignment horizontal="right" vertical="center"/>
    </xf>
    <xf numFmtId="0" fontId="14" fillId="4" borderId="0" xfId="0" applyFont="1" applyFill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quotePrefix="1" applyFont="1" applyFill="1" applyBorder="1" applyAlignment="1">
      <alignment horizontal="center" vertical="center" wrapText="1"/>
    </xf>
    <xf numFmtId="0" fontId="3" fillId="4" borderId="8" xfId="0" quotePrefix="1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9" fillId="0" borderId="8" xfId="28" applyFont="1" applyFill="1" applyBorder="1" applyAlignment="1">
      <alignment horizontal="center" vertical="center" wrapText="1"/>
    </xf>
    <xf numFmtId="3" fontId="19" fillId="0" borderId="4" xfId="28" applyNumberFormat="1" applyFont="1" applyFill="1" applyBorder="1" applyAlignment="1">
      <alignment horizontal="center" vertical="center"/>
    </xf>
    <xf numFmtId="3" fontId="19" fillId="0" borderId="6" xfId="28" applyNumberFormat="1" applyFont="1" applyFill="1" applyBorder="1" applyAlignment="1">
      <alignment horizontal="center" vertical="center"/>
    </xf>
    <xf numFmtId="3" fontId="19" fillId="0" borderId="5" xfId="28" applyNumberFormat="1" applyFont="1" applyFill="1" applyBorder="1" applyAlignment="1">
      <alignment horizontal="center" vertical="center"/>
    </xf>
    <xf numFmtId="0" fontId="5" fillId="0" borderId="8" xfId="28" applyFont="1" applyFill="1" applyBorder="1" applyAlignment="1">
      <alignment horizontal="center" vertical="center" wrapText="1"/>
    </xf>
    <xf numFmtId="0" fontId="14" fillId="0" borderId="8" xfId="28" applyFont="1" applyFill="1" applyBorder="1" applyAlignment="1">
      <alignment horizontal="center" vertical="center" wrapText="1"/>
    </xf>
    <xf numFmtId="0" fontId="2" fillId="0" borderId="4" xfId="28" applyFont="1" applyFill="1" applyBorder="1" applyAlignment="1">
      <alignment horizontal="center" vertical="center" wrapText="1"/>
    </xf>
    <xf numFmtId="0" fontId="2" fillId="0" borderId="6" xfId="28" applyFont="1" applyFill="1" applyBorder="1" applyAlignment="1">
      <alignment horizontal="center" vertical="center" wrapText="1"/>
    </xf>
    <xf numFmtId="0" fontId="2" fillId="0" borderId="5" xfId="28" applyFont="1" applyFill="1" applyBorder="1" applyAlignment="1">
      <alignment horizontal="center" vertical="center" wrapText="1"/>
    </xf>
    <xf numFmtId="3" fontId="19" fillId="0" borderId="8" xfId="28" applyNumberFormat="1" applyFont="1" applyFill="1" applyBorder="1" applyAlignment="1">
      <alignment horizontal="center" vertical="center"/>
    </xf>
    <xf numFmtId="0" fontId="2" fillId="0" borderId="7" xfId="28" applyFont="1" applyFill="1" applyBorder="1" applyAlignment="1">
      <alignment horizontal="center" vertical="center" wrapText="1"/>
    </xf>
    <xf numFmtId="0" fontId="2" fillId="0" borderId="2" xfId="28" applyFont="1" applyFill="1" applyBorder="1" applyAlignment="1">
      <alignment horizontal="center" vertical="center" wrapText="1"/>
    </xf>
    <xf numFmtId="0" fontId="3" fillId="0" borderId="0" xfId="30" applyFont="1" applyFill="1" applyAlignment="1">
      <alignment horizontal="left"/>
    </xf>
    <xf numFmtId="0" fontId="3" fillId="0" borderId="0" xfId="30" applyFont="1" applyFill="1" applyAlignment="1">
      <alignment horizontal="left" wrapText="1"/>
    </xf>
    <xf numFmtId="0" fontId="28" fillId="0" borderId="0" xfId="30" applyFont="1" applyFill="1" applyAlignment="1">
      <alignment horizontal="center"/>
    </xf>
    <xf numFmtId="10" fontId="29" fillId="0" borderId="1" xfId="21" applyNumberFormat="1" applyFont="1" applyFill="1" applyBorder="1"/>
  </cellXfs>
  <cellStyles count="32">
    <cellStyle name="40% — акцент1" xfId="1" builtinId="31"/>
    <cellStyle name="40% — акцент3" xfId="2" builtinId="39"/>
    <cellStyle name="Денежный" xfId="23" builtinId="4"/>
    <cellStyle name="Итоги" xfId="19"/>
    <cellStyle name="ИтогоБазЦ" xfId="16"/>
    <cellStyle name="ИтогоБИМ" xfId="17"/>
    <cellStyle name="ЛокСмМТСН" xfId="18"/>
    <cellStyle name="Обычный" xfId="0" builtinId="0"/>
    <cellStyle name="Обычный 13 5" xfId="22"/>
    <cellStyle name="Обычный 2" xfId="3"/>
    <cellStyle name="Обычный 2 2" xfId="30"/>
    <cellStyle name="Обычный 3" xfId="27"/>
    <cellStyle name="Обычный 32 2" xfId="6"/>
    <cellStyle name="Обычный 4" xfId="25"/>
    <cellStyle name="Обычный 4 10" xfId="5"/>
    <cellStyle name="Обычный 47" xfId="9"/>
    <cellStyle name="Обычный 49" xfId="10"/>
    <cellStyle name="Обычный 5" xfId="28"/>
    <cellStyle name="Обычный 50" xfId="8"/>
    <cellStyle name="Обычный 84 2" xfId="7"/>
    <cellStyle name="Обычный 85" xfId="4"/>
    <cellStyle name="Параметр" xfId="15"/>
    <cellStyle name="ПИР" xfId="13"/>
    <cellStyle name="Пояснение 2" xfId="29"/>
    <cellStyle name="Примечание 2" xfId="26"/>
    <cellStyle name="Процентный" xfId="21" builtinId="5"/>
    <cellStyle name="Титул" xfId="12"/>
    <cellStyle name="Финансовый" xfId="11" builtinId="3"/>
    <cellStyle name="Финансовый 2" xfId="31"/>
    <cellStyle name="Хвост" xfId="14"/>
    <cellStyle name="Хороший" xfId="20" builtinId="26"/>
    <cellStyle name="Хороший 2" xfId="24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110" zoomScaleNormal="110" workbookViewId="0">
      <selection activeCell="F14" sqref="F14"/>
    </sheetView>
  </sheetViews>
  <sheetFormatPr defaultColWidth="9.28515625" defaultRowHeight="15" x14ac:dyDescent="0.25"/>
  <cols>
    <col min="1" max="1" width="7.5703125" style="1" customWidth="1"/>
    <col min="2" max="2" width="51.140625" style="2" customWidth="1"/>
    <col min="3" max="3" width="18.42578125" style="3" customWidth="1"/>
    <col min="4" max="4" width="15.28515625" style="1" bestFit="1" customWidth="1"/>
    <col min="5" max="5" width="18.5703125" style="1" customWidth="1"/>
    <col min="6" max="6" width="17.7109375" style="1" customWidth="1"/>
    <col min="7" max="7" width="16.5703125" style="1" bestFit="1" customWidth="1"/>
    <col min="8" max="8" width="10.85546875" style="1" customWidth="1"/>
    <col min="9" max="9" width="10.140625" style="1" customWidth="1"/>
    <col min="10" max="10" width="8.7109375" style="1" customWidth="1"/>
    <col min="11" max="16384" width="9.28515625" style="1"/>
  </cols>
  <sheetData>
    <row r="1" spans="1:10" customFormat="1" ht="48" customHeight="1" x14ac:dyDescent="0.25">
      <c r="A1" s="127" t="s">
        <v>148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customFormat="1" ht="15.75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customFormat="1" ht="15.75" x14ac:dyDescent="0.25">
      <c r="A3" s="129" t="s">
        <v>149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customFormat="1" ht="15.75" x14ac:dyDescent="0.25">
      <c r="A4" s="129" t="s">
        <v>86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customFormat="1" ht="15.75" x14ac:dyDescent="0.25">
      <c r="A5" s="129" t="s">
        <v>82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customFormat="1" ht="15.75" x14ac:dyDescent="0.25">
      <c r="A6" s="64"/>
    </row>
    <row r="7" spans="1:10" customFormat="1" ht="31.5" customHeight="1" x14ac:dyDescent="0.25">
      <c r="A7" s="130" t="s">
        <v>138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customFormat="1" ht="15.75" x14ac:dyDescent="0.25">
      <c r="A8" s="131" t="s">
        <v>83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0" x14ac:dyDescent="0.25">
      <c r="A9" s="3"/>
      <c r="D9" s="3"/>
      <c r="E9" s="3"/>
      <c r="F9" s="3"/>
      <c r="G9" s="3"/>
      <c r="H9" s="3"/>
      <c r="I9" s="3"/>
      <c r="J9" s="3"/>
    </row>
    <row r="10" spans="1:10" ht="108.75" customHeight="1" x14ac:dyDescent="0.25">
      <c r="A10" s="100" t="s">
        <v>84</v>
      </c>
      <c r="B10" s="101" t="s">
        <v>87</v>
      </c>
      <c r="C10" s="100" t="s">
        <v>85</v>
      </c>
      <c r="D10" s="101" t="s">
        <v>74</v>
      </c>
      <c r="E10" s="101" t="s">
        <v>146</v>
      </c>
      <c r="F10" s="3"/>
      <c r="G10" s="3"/>
      <c r="H10" s="3"/>
      <c r="I10" s="3"/>
      <c r="J10" s="3"/>
    </row>
    <row r="11" spans="1:10" ht="31.5" x14ac:dyDescent="0.25">
      <c r="A11" s="116" t="s">
        <v>70</v>
      </c>
      <c r="B11" s="117" t="str">
        <f>'Расчет работ МРР'!B7</f>
        <v>Обследование АПК «ВИФИД» и разработка (проектирование) КЗИ</v>
      </c>
      <c r="C11" s="125">
        <f>'Расчет работ МРР'!E43</f>
        <v>1419683.42</v>
      </c>
      <c r="D11" s="156">
        <f>ROUND(E11/$E$15,3)</f>
        <v>2E-3</v>
      </c>
      <c r="E11" s="118">
        <f>'Расчет работ МРР'!F43</f>
        <v>515935.24386059487</v>
      </c>
      <c r="F11" s="3"/>
      <c r="G11" s="3"/>
      <c r="H11" s="3"/>
      <c r="I11" s="3"/>
      <c r="J11" s="3"/>
    </row>
    <row r="12" spans="1:10" ht="15.75" x14ac:dyDescent="0.25">
      <c r="A12" s="116" t="s">
        <v>71</v>
      </c>
      <c r="B12" s="117" t="s">
        <v>6</v>
      </c>
      <c r="C12" s="125">
        <f>'расчет оборудования'!N69</f>
        <v>248195352.28999999</v>
      </c>
      <c r="D12" s="156">
        <f>ROUND(E12/$E$15,3)</f>
        <v>0.98399999999999999</v>
      </c>
      <c r="E12" s="119">
        <f>'расчет оборудования'!O69</f>
        <v>233903802.91</v>
      </c>
      <c r="F12" s="3"/>
      <c r="G12" s="3"/>
      <c r="H12" s="3"/>
      <c r="I12" s="3"/>
      <c r="J12" s="3"/>
    </row>
    <row r="13" spans="1:10" ht="15.75" x14ac:dyDescent="0.25">
      <c r="A13" s="120" t="s">
        <v>68</v>
      </c>
      <c r="B13" s="117" t="s">
        <v>89</v>
      </c>
      <c r="C13" s="125">
        <f>'Расчет работ МРР'!E44</f>
        <v>8710794</v>
      </c>
      <c r="D13" s="156">
        <f>ROUND(E13/$E$15,3)</f>
        <v>1.2999999999999999E-2</v>
      </c>
      <c r="E13" s="118">
        <f>'Расчет работ МРР'!F44</f>
        <v>3165639.2990835989</v>
      </c>
      <c r="F13" s="3"/>
      <c r="G13" s="3"/>
      <c r="H13" s="3"/>
      <c r="I13" s="3"/>
      <c r="J13" s="3"/>
    </row>
    <row r="14" spans="1:10" ht="47.25" x14ac:dyDescent="0.25">
      <c r="A14" s="116" t="s">
        <v>69</v>
      </c>
      <c r="B14" s="117" t="s">
        <v>139</v>
      </c>
      <c r="C14" s="125">
        <f>'Расчет работ МРР'!E45</f>
        <v>596068.56999999995</v>
      </c>
      <c r="D14" s="156">
        <f>ROUND(E14/$E$15,3)</f>
        <v>1E-3</v>
      </c>
      <c r="E14" s="118">
        <f>'Расчет работ МРР'!F45</f>
        <v>216620.67661576695</v>
      </c>
      <c r="F14" s="3"/>
      <c r="G14" s="3"/>
      <c r="H14" s="3"/>
      <c r="I14" s="3"/>
      <c r="J14" s="3"/>
    </row>
    <row r="15" spans="1:10" ht="15.75" x14ac:dyDescent="0.25">
      <c r="A15" s="121"/>
      <c r="B15" s="122" t="s">
        <v>0</v>
      </c>
      <c r="C15" s="125">
        <f>C11+C12+C13+C14</f>
        <v>258921898.27999997</v>
      </c>
      <c r="D15" s="123">
        <f>SUM(D11:D14)</f>
        <v>1</v>
      </c>
      <c r="E15" s="124">
        <f>SUM(E11:E14)</f>
        <v>237801998.12955996</v>
      </c>
      <c r="F15" s="3"/>
      <c r="G15" s="3"/>
      <c r="H15" s="3"/>
      <c r="I15" s="3"/>
      <c r="J15" s="3"/>
    </row>
    <row r="16" spans="1:10" x14ac:dyDescent="0.25">
      <c r="A16" s="3"/>
      <c r="C16" s="102"/>
      <c r="D16" s="3"/>
      <c r="E16" s="3"/>
      <c r="F16" s="3"/>
      <c r="G16" s="3"/>
      <c r="H16" s="3"/>
      <c r="I16" s="3"/>
      <c r="J16" s="3"/>
    </row>
    <row r="17" spans="1:24" ht="63" customHeight="1" x14ac:dyDescent="0.25">
      <c r="A17" s="132" t="s">
        <v>150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24" customFormat="1" ht="13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24" s="65" customFormat="1" ht="30.75" customHeight="1" x14ac:dyDescent="0.25">
      <c r="A19" s="126" t="s">
        <v>143</v>
      </c>
      <c r="B19" s="126"/>
      <c r="C19" s="107" t="s">
        <v>144</v>
      </c>
      <c r="D19" s="35"/>
      <c r="E19" s="108"/>
      <c r="F19" s="104"/>
      <c r="G19" s="104"/>
      <c r="H19" s="104"/>
      <c r="I19" s="104"/>
      <c r="J19" s="104"/>
      <c r="K19" s="103"/>
    </row>
    <row r="20" spans="1:24" customFormat="1" ht="15.75" x14ac:dyDescent="0.25">
      <c r="A20" s="105"/>
      <c r="B20" s="104"/>
      <c r="C20" s="104"/>
      <c r="D20" s="104"/>
      <c r="E20" s="104"/>
      <c r="F20" s="104"/>
      <c r="G20" s="104"/>
      <c r="H20" s="104"/>
      <c r="I20" s="104"/>
      <c r="J20" s="104"/>
      <c r="K20" s="105"/>
    </row>
    <row r="21" spans="1:24" ht="15.75" x14ac:dyDescent="0.2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3"/>
    </row>
    <row r="22" spans="1:24" s="33" customFormat="1" ht="17.25" customHeight="1" x14ac:dyDescent="0.25">
      <c r="A22" s="105"/>
      <c r="B22" s="104"/>
      <c r="C22" s="104"/>
      <c r="D22" s="104"/>
      <c r="E22" s="104"/>
      <c r="F22" s="104"/>
      <c r="G22" s="104"/>
      <c r="H22" s="104"/>
      <c r="I22" s="104"/>
      <c r="J22" s="104"/>
      <c r="K22" s="105"/>
      <c r="L22" s="35"/>
      <c r="M22" s="35"/>
      <c r="N22" s="35"/>
      <c r="Q22" s="34"/>
      <c r="R22" s="34"/>
      <c r="S22" s="34"/>
      <c r="T22" s="34"/>
      <c r="U22" s="34"/>
      <c r="V22" s="34"/>
      <c r="W22" s="34"/>
      <c r="X22" s="34"/>
    </row>
    <row r="23" spans="1:24" ht="15.75" x14ac:dyDescent="0.2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3"/>
    </row>
    <row r="24" spans="1:24" ht="15.75" x14ac:dyDescent="0.25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1:24" ht="15.75" x14ac:dyDescent="0.2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3"/>
    </row>
    <row r="26" spans="1:24" ht="15.75" x14ac:dyDescent="0.25">
      <c r="A26" s="105"/>
      <c r="B26" s="104"/>
      <c r="C26" s="104"/>
      <c r="D26" s="104"/>
      <c r="E26" s="104"/>
      <c r="F26" s="104"/>
      <c r="G26" s="104"/>
      <c r="H26" s="104"/>
      <c r="I26" s="104"/>
      <c r="J26" s="104"/>
      <c r="K26" s="105"/>
    </row>
    <row r="27" spans="1:24" ht="15.75" x14ac:dyDescent="0.2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3"/>
    </row>
  </sheetData>
  <mergeCells count="8">
    <mergeCell ref="A19:B19"/>
    <mergeCell ref="A1:J1"/>
    <mergeCell ref="A3:J3"/>
    <mergeCell ref="A4:J4"/>
    <mergeCell ref="A5:J5"/>
    <mergeCell ref="A7:J7"/>
    <mergeCell ref="A8:J8"/>
    <mergeCell ref="A17:J17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opLeftCell="A16" zoomScale="85" zoomScaleNormal="85" workbookViewId="0">
      <selection activeCell="F53" sqref="F53"/>
    </sheetView>
  </sheetViews>
  <sheetFormatPr defaultColWidth="17.7109375" defaultRowHeight="12.75" x14ac:dyDescent="0.25"/>
  <cols>
    <col min="1" max="1" width="5.28515625" style="36" customWidth="1"/>
    <col min="2" max="2" width="24.7109375" style="4" customWidth="1"/>
    <col min="3" max="3" width="44.5703125" style="4" customWidth="1"/>
    <col min="4" max="4" width="23.5703125" style="4" customWidth="1"/>
    <col min="5" max="5" width="21.7109375" style="4" customWidth="1"/>
    <col min="6" max="6" width="15.42578125" style="4" customWidth="1"/>
    <col min="7" max="7" width="20.5703125" style="4" customWidth="1"/>
    <col min="8" max="8" width="26.42578125" style="4" customWidth="1"/>
    <col min="9" max="9" width="17.28515625" style="4" customWidth="1" collapsed="1"/>
    <col min="10" max="10" width="17" style="39" customWidth="1"/>
    <col min="11" max="11" width="14.7109375" style="39" customWidth="1"/>
    <col min="12" max="12" width="22.7109375" style="4" customWidth="1"/>
    <col min="13" max="13" width="21.7109375" style="4" customWidth="1"/>
    <col min="14" max="14" width="14.7109375" style="4" customWidth="1"/>
    <col min="15" max="15" width="11.42578125" style="40" customWidth="1"/>
    <col min="16" max="17" width="11.5703125" style="4" customWidth="1"/>
    <col min="18" max="18" width="39.7109375" style="4" customWidth="1"/>
    <col min="19" max="16384" width="17.7109375" style="4"/>
  </cols>
  <sheetData>
    <row r="1" spans="1:15" x14ac:dyDescent="0.25">
      <c r="F1" s="37"/>
      <c r="G1" s="5"/>
      <c r="H1" s="6"/>
      <c r="I1" s="7"/>
      <c r="J1" s="38"/>
    </row>
    <row r="2" spans="1:15" ht="13.5" customHeight="1" x14ac:dyDescent="0.25">
      <c r="A2" s="134" t="s">
        <v>8</v>
      </c>
      <c r="B2" s="134"/>
      <c r="C2" s="134"/>
      <c r="D2" s="134"/>
      <c r="E2" s="134"/>
      <c r="F2" s="134"/>
      <c r="G2" s="134"/>
      <c r="H2" s="134"/>
      <c r="I2" s="134"/>
      <c r="J2" s="41"/>
      <c r="K2" s="4"/>
      <c r="O2" s="4"/>
    </row>
    <row r="3" spans="1:15" x14ac:dyDescent="0.25">
      <c r="K3" s="4"/>
      <c r="O3" s="4"/>
    </row>
    <row r="4" spans="1:15" ht="58.15" customHeight="1" x14ac:dyDescent="0.25">
      <c r="A4" s="14" t="s">
        <v>9</v>
      </c>
      <c r="B4" s="14" t="s">
        <v>5</v>
      </c>
      <c r="C4" s="14" t="s">
        <v>10</v>
      </c>
      <c r="D4" s="14" t="s">
        <v>29</v>
      </c>
      <c r="E4" s="14" t="s">
        <v>76</v>
      </c>
      <c r="F4" s="14" t="s">
        <v>30</v>
      </c>
      <c r="G4" s="14" t="s">
        <v>31</v>
      </c>
      <c r="H4" s="14" t="s">
        <v>32</v>
      </c>
      <c r="I4" s="12"/>
      <c r="J4" s="12"/>
      <c r="K4" s="4"/>
      <c r="O4" s="4"/>
    </row>
    <row r="5" spans="1:15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2"/>
      <c r="J5" s="12"/>
      <c r="K5" s="4"/>
      <c r="O5" s="4"/>
    </row>
    <row r="6" spans="1:15" x14ac:dyDescent="0.25">
      <c r="A6" s="13"/>
      <c r="B6" s="13"/>
      <c r="C6" s="13"/>
      <c r="D6" s="13"/>
      <c r="E6" s="13"/>
      <c r="F6" s="13"/>
      <c r="G6" s="13"/>
      <c r="H6" s="13"/>
      <c r="I6" s="12"/>
      <c r="J6" s="12"/>
      <c r="K6" s="4"/>
      <c r="O6" s="4"/>
    </row>
    <row r="7" spans="1:15" ht="15.75" customHeight="1" x14ac:dyDescent="0.25">
      <c r="A7" s="137">
        <v>1</v>
      </c>
      <c r="B7" s="135" t="s">
        <v>88</v>
      </c>
      <c r="C7" s="18" t="s">
        <v>11</v>
      </c>
      <c r="D7" s="15">
        <v>2</v>
      </c>
      <c r="E7" s="18"/>
      <c r="F7" s="15">
        <v>1</v>
      </c>
      <c r="G7" s="16">
        <v>2</v>
      </c>
      <c r="H7" s="17">
        <f>ROUND(D7/E13*F7*G7,3)</f>
        <v>0.57099999999999995</v>
      </c>
      <c r="I7" s="138"/>
      <c r="J7" s="139"/>
      <c r="K7" s="139"/>
      <c r="L7" s="139"/>
      <c r="O7" s="4"/>
    </row>
    <row r="8" spans="1:15" ht="13.15" customHeight="1" x14ac:dyDescent="0.25">
      <c r="A8" s="137"/>
      <c r="B8" s="135"/>
      <c r="C8" s="18" t="s">
        <v>27</v>
      </c>
      <c r="D8" s="15">
        <v>2</v>
      </c>
      <c r="E8" s="18"/>
      <c r="F8" s="15">
        <v>1</v>
      </c>
      <c r="G8" s="16">
        <v>1.6</v>
      </c>
      <c r="H8" s="17">
        <f>ROUND(D8/E13*F8*G8,3)</f>
        <v>0.45700000000000002</v>
      </c>
      <c r="I8" s="138"/>
      <c r="J8" s="139"/>
      <c r="K8" s="139"/>
      <c r="O8" s="4"/>
    </row>
    <row r="9" spans="1:15" ht="14.65" customHeight="1" x14ac:dyDescent="0.25">
      <c r="A9" s="137"/>
      <c r="B9" s="135"/>
      <c r="C9" s="18" t="s">
        <v>12</v>
      </c>
      <c r="D9" s="15">
        <v>5</v>
      </c>
      <c r="E9" s="18"/>
      <c r="F9" s="15">
        <v>4</v>
      </c>
      <c r="G9" s="16">
        <v>1</v>
      </c>
      <c r="H9" s="17">
        <f>ROUND(D9/E13*F9*G9,3)</f>
        <v>2.8570000000000002</v>
      </c>
      <c r="J9" s="42"/>
      <c r="K9" s="4"/>
      <c r="O9" s="4"/>
    </row>
    <row r="10" spans="1:15" ht="14.65" customHeight="1" x14ac:dyDescent="0.25">
      <c r="A10" s="137"/>
      <c r="B10" s="135"/>
      <c r="C10" s="18" t="s">
        <v>13</v>
      </c>
      <c r="D10" s="15">
        <v>7</v>
      </c>
      <c r="E10" s="18"/>
      <c r="F10" s="15">
        <v>10</v>
      </c>
      <c r="G10" s="16">
        <v>1</v>
      </c>
      <c r="H10" s="17">
        <f>ROUND(D10/E13*F10*G10,3)</f>
        <v>10</v>
      </c>
      <c r="J10" s="42"/>
      <c r="K10" s="4"/>
      <c r="O10" s="4"/>
    </row>
    <row r="11" spans="1:15" ht="14.65" customHeight="1" x14ac:dyDescent="0.25">
      <c r="A11" s="137"/>
      <c r="B11" s="135"/>
      <c r="C11" s="18" t="s">
        <v>14</v>
      </c>
      <c r="D11" s="15">
        <v>7</v>
      </c>
      <c r="E11" s="18"/>
      <c r="F11" s="15">
        <v>10</v>
      </c>
      <c r="G11" s="16">
        <v>1</v>
      </c>
      <c r="H11" s="17">
        <f>ROUND(D11/E13*F11*G11,3)</f>
        <v>10</v>
      </c>
      <c r="J11" s="42"/>
      <c r="K11" s="4"/>
      <c r="O11" s="4"/>
    </row>
    <row r="12" spans="1:15" ht="14.65" customHeight="1" x14ac:dyDescent="0.25">
      <c r="A12" s="137"/>
      <c r="B12" s="135"/>
      <c r="C12" s="18" t="s">
        <v>15</v>
      </c>
      <c r="D12" s="15">
        <v>7</v>
      </c>
      <c r="E12" s="18"/>
      <c r="F12" s="15">
        <v>1</v>
      </c>
      <c r="G12" s="16">
        <v>1</v>
      </c>
      <c r="H12" s="17">
        <f>ROUND(D12/E13*F12*G12,3)</f>
        <v>1</v>
      </c>
      <c r="J12" s="42"/>
      <c r="K12" s="4"/>
      <c r="O12" s="4"/>
    </row>
    <row r="13" spans="1:15" ht="15" customHeight="1" x14ac:dyDescent="0.25">
      <c r="A13" s="19"/>
      <c r="B13" s="14"/>
      <c r="C13" s="133" t="s">
        <v>140</v>
      </c>
      <c r="D13" s="133"/>
      <c r="E13" s="20">
        <f>C52</f>
        <v>7</v>
      </c>
      <c r="F13" s="21">
        <f>SUM(F7:F12)</f>
        <v>27</v>
      </c>
      <c r="G13" s="15"/>
      <c r="H13" s="22">
        <f>ROUND(SUM(H7:H12)/F13,3)</f>
        <v>0.92200000000000004</v>
      </c>
      <c r="I13" s="43"/>
      <c r="J13" s="42"/>
      <c r="K13" s="4"/>
      <c r="O13" s="4"/>
    </row>
    <row r="14" spans="1:15" ht="12.75" customHeight="1" x14ac:dyDescent="0.25">
      <c r="A14" s="135">
        <v>3</v>
      </c>
      <c r="B14" s="135" t="s">
        <v>89</v>
      </c>
      <c r="C14" s="18" t="s">
        <v>11</v>
      </c>
      <c r="D14" s="15">
        <v>12</v>
      </c>
      <c r="E14" s="18"/>
      <c r="F14" s="15">
        <v>1</v>
      </c>
      <c r="G14" s="16">
        <v>2</v>
      </c>
      <c r="H14" s="17">
        <f>ROUND(D14/E22*F14*G14,3)</f>
        <v>0.54500000000000004</v>
      </c>
      <c r="J14" s="42"/>
      <c r="K14" s="4"/>
      <c r="O14" s="4"/>
    </row>
    <row r="15" spans="1:15" ht="14.1" customHeight="1" x14ac:dyDescent="0.25">
      <c r="A15" s="136"/>
      <c r="B15" s="135"/>
      <c r="C15" s="18" t="s">
        <v>27</v>
      </c>
      <c r="D15" s="15">
        <v>18</v>
      </c>
      <c r="E15" s="18"/>
      <c r="F15" s="15">
        <v>1</v>
      </c>
      <c r="G15" s="16">
        <v>1.6</v>
      </c>
      <c r="H15" s="17">
        <f>ROUND(D15/E22*F15*G15,3)</f>
        <v>0.65500000000000003</v>
      </c>
      <c r="J15" s="42"/>
      <c r="K15" s="4"/>
      <c r="O15" s="4"/>
    </row>
    <row r="16" spans="1:15" ht="25.5" x14ac:dyDescent="0.25">
      <c r="A16" s="136"/>
      <c r="B16" s="135"/>
      <c r="C16" s="44" t="s">
        <v>12</v>
      </c>
      <c r="D16" s="15">
        <v>40</v>
      </c>
      <c r="E16" s="18"/>
      <c r="F16" s="15">
        <v>4</v>
      </c>
      <c r="G16" s="16">
        <v>1</v>
      </c>
      <c r="H16" s="17">
        <f>ROUND(D16/E22*F16*G16,3)</f>
        <v>3.6360000000000001</v>
      </c>
      <c r="J16" s="42"/>
      <c r="K16" s="4"/>
      <c r="O16" s="4"/>
    </row>
    <row r="17" spans="1:15" x14ac:dyDescent="0.25">
      <c r="A17" s="136"/>
      <c r="B17" s="135"/>
      <c r="C17" s="18" t="s">
        <v>15</v>
      </c>
      <c r="D17" s="15">
        <v>42</v>
      </c>
      <c r="E17" s="18"/>
      <c r="F17" s="15">
        <v>8</v>
      </c>
      <c r="G17" s="16">
        <v>1</v>
      </c>
      <c r="H17" s="17">
        <f>ROUND(D17/E22*F17*G17,3)</f>
        <v>7.6360000000000001</v>
      </c>
      <c r="J17" s="42"/>
      <c r="K17" s="4"/>
      <c r="O17" s="4"/>
    </row>
    <row r="18" spans="1:15" x14ac:dyDescent="0.25">
      <c r="A18" s="136"/>
      <c r="B18" s="135"/>
      <c r="C18" s="18" t="s">
        <v>17</v>
      </c>
      <c r="D18" s="15">
        <v>36</v>
      </c>
      <c r="E18" s="18"/>
      <c r="F18" s="15">
        <v>4</v>
      </c>
      <c r="G18" s="16">
        <v>1</v>
      </c>
      <c r="H18" s="17">
        <f>ROUND(D18/E22*F18*G18,3)</f>
        <v>3.2730000000000001</v>
      </c>
      <c r="J18" s="42"/>
      <c r="K18" s="4"/>
      <c r="O18" s="4"/>
    </row>
    <row r="19" spans="1:15" x14ac:dyDescent="0.25">
      <c r="A19" s="136"/>
      <c r="B19" s="135"/>
      <c r="C19" s="18" t="s">
        <v>16</v>
      </c>
      <c r="D19" s="15">
        <v>28</v>
      </c>
      <c r="E19" s="18"/>
      <c r="F19" s="15">
        <v>4</v>
      </c>
      <c r="G19" s="16">
        <v>1</v>
      </c>
      <c r="H19" s="17">
        <f>ROUND(D19/E22*F19*G19,3)</f>
        <v>2.5449999999999999</v>
      </c>
      <c r="I19" s="138"/>
      <c r="J19" s="139"/>
      <c r="K19" s="139"/>
      <c r="O19" s="4"/>
    </row>
    <row r="20" spans="1:15" x14ac:dyDescent="0.25">
      <c r="A20" s="136"/>
      <c r="B20" s="135"/>
      <c r="C20" s="18" t="s">
        <v>18</v>
      </c>
      <c r="D20" s="15">
        <v>24</v>
      </c>
      <c r="E20" s="18"/>
      <c r="F20" s="15">
        <v>2</v>
      </c>
      <c r="G20" s="16">
        <v>1</v>
      </c>
      <c r="H20" s="17">
        <f>ROUND(D20/E22*F20*G20,3)</f>
        <v>1.091</v>
      </c>
      <c r="J20" s="42"/>
      <c r="K20" s="4"/>
      <c r="O20" s="4"/>
    </row>
    <row r="21" spans="1:15" x14ac:dyDescent="0.25">
      <c r="A21" s="136"/>
      <c r="B21" s="135"/>
      <c r="C21" s="18" t="s">
        <v>14</v>
      </c>
      <c r="D21" s="15">
        <v>36</v>
      </c>
      <c r="E21" s="18"/>
      <c r="F21" s="15">
        <v>6</v>
      </c>
      <c r="G21" s="16">
        <v>1</v>
      </c>
      <c r="H21" s="17">
        <f>ROUND(D21/E22*F21*G21,3)</f>
        <v>4.9089999999999998</v>
      </c>
      <c r="I21" s="138"/>
      <c r="J21" s="140"/>
      <c r="K21" s="140"/>
      <c r="O21" s="4"/>
    </row>
    <row r="22" spans="1:15" ht="15" customHeight="1" x14ac:dyDescent="0.25">
      <c r="A22" s="19"/>
      <c r="B22" s="14"/>
      <c r="C22" s="133" t="s">
        <v>141</v>
      </c>
      <c r="D22" s="133"/>
      <c r="E22" s="20">
        <v>44</v>
      </c>
      <c r="F22" s="21">
        <f>SUM(F14:F21)</f>
        <v>30</v>
      </c>
      <c r="G22" s="15"/>
      <c r="H22" s="22">
        <f>ROUND(SUM(H14:H21)/F22,3)</f>
        <v>0.81</v>
      </c>
      <c r="I22" s="43"/>
      <c r="J22" s="42"/>
      <c r="K22" s="4"/>
      <c r="O22" s="4"/>
    </row>
    <row r="23" spans="1:15" ht="12.75" customHeight="1" x14ac:dyDescent="0.25">
      <c r="A23" s="135">
        <v>4</v>
      </c>
      <c r="B23" s="135" t="s">
        <v>90</v>
      </c>
      <c r="C23" s="18" t="s">
        <v>11</v>
      </c>
      <c r="D23" s="15">
        <v>2</v>
      </c>
      <c r="E23" s="18"/>
      <c r="F23" s="15">
        <v>1</v>
      </c>
      <c r="G23" s="16">
        <v>2</v>
      </c>
      <c r="H23" s="17">
        <f>ROUND(D23/E29*F23*G23,3)</f>
        <v>0.57099999999999995</v>
      </c>
      <c r="J23" s="42"/>
      <c r="K23" s="4"/>
      <c r="O23" s="4"/>
    </row>
    <row r="24" spans="1:15" ht="14.1" customHeight="1" x14ac:dyDescent="0.25">
      <c r="A24" s="136"/>
      <c r="B24" s="135"/>
      <c r="C24" s="18" t="s">
        <v>27</v>
      </c>
      <c r="D24" s="15">
        <v>2</v>
      </c>
      <c r="E24" s="18"/>
      <c r="F24" s="15">
        <v>1</v>
      </c>
      <c r="G24" s="16">
        <v>1.6</v>
      </c>
      <c r="H24" s="17">
        <f>ROUND(D24/E29*F24*G24,3)</f>
        <v>0.45700000000000002</v>
      </c>
      <c r="J24" s="42"/>
      <c r="K24" s="4"/>
      <c r="O24" s="4"/>
    </row>
    <row r="25" spans="1:15" x14ac:dyDescent="0.25">
      <c r="A25" s="136"/>
      <c r="B25" s="135"/>
      <c r="C25" s="18" t="s">
        <v>12</v>
      </c>
      <c r="D25" s="15">
        <v>5</v>
      </c>
      <c r="E25" s="18"/>
      <c r="F25" s="15">
        <v>2</v>
      </c>
      <c r="G25" s="16">
        <v>1</v>
      </c>
      <c r="H25" s="17">
        <f>ROUND(D25/E29*F25*G25,3)</f>
        <v>1.429</v>
      </c>
      <c r="J25" s="42"/>
      <c r="K25" s="4"/>
      <c r="O25" s="4"/>
    </row>
    <row r="26" spans="1:15" x14ac:dyDescent="0.25">
      <c r="A26" s="136"/>
      <c r="B26" s="135"/>
      <c r="C26" s="18" t="s">
        <v>16</v>
      </c>
      <c r="D26" s="15">
        <v>7</v>
      </c>
      <c r="E26" s="18"/>
      <c r="F26" s="15">
        <v>2</v>
      </c>
      <c r="G26" s="16">
        <v>1</v>
      </c>
      <c r="H26" s="17">
        <f>ROUND(D26/E29*F26*G26,3)</f>
        <v>2</v>
      </c>
      <c r="J26" s="42"/>
      <c r="K26" s="4"/>
      <c r="O26" s="4"/>
    </row>
    <row r="27" spans="1:15" x14ac:dyDescent="0.25">
      <c r="A27" s="136"/>
      <c r="B27" s="135"/>
      <c r="C27" s="18" t="s">
        <v>18</v>
      </c>
      <c r="D27" s="15">
        <v>7</v>
      </c>
      <c r="E27" s="18"/>
      <c r="F27" s="15">
        <v>2</v>
      </c>
      <c r="G27" s="16">
        <v>1</v>
      </c>
      <c r="H27" s="17">
        <f>ROUND(D27/E29*F27*G27,3)</f>
        <v>2</v>
      </c>
      <c r="J27" s="42"/>
      <c r="K27" s="4"/>
      <c r="O27" s="4"/>
    </row>
    <row r="28" spans="1:15" x14ac:dyDescent="0.25">
      <c r="A28" s="136"/>
      <c r="B28" s="135"/>
      <c r="C28" s="18" t="s">
        <v>14</v>
      </c>
      <c r="D28" s="15">
        <v>7</v>
      </c>
      <c r="E28" s="18"/>
      <c r="F28" s="15">
        <v>4</v>
      </c>
      <c r="G28" s="16">
        <v>1</v>
      </c>
      <c r="H28" s="17">
        <f>ROUND(D28/E29*F28*G28,3)</f>
        <v>4</v>
      </c>
      <c r="J28" s="42"/>
      <c r="K28" s="4"/>
      <c r="O28" s="4"/>
    </row>
    <row r="29" spans="1:15" ht="15.75" customHeight="1" x14ac:dyDescent="0.25">
      <c r="A29" s="19"/>
      <c r="B29" s="14"/>
      <c r="C29" s="133" t="s">
        <v>142</v>
      </c>
      <c r="D29" s="133"/>
      <c r="E29" s="20">
        <f>C54</f>
        <v>7</v>
      </c>
      <c r="F29" s="21">
        <f>SUM(F23:F28)</f>
        <v>12</v>
      </c>
      <c r="G29" s="15"/>
      <c r="H29" s="22">
        <f>ROUND(SUM(H23:H28)/F29,3)</f>
        <v>0.871</v>
      </c>
      <c r="I29" s="43"/>
      <c r="J29" s="42"/>
      <c r="K29" s="4"/>
      <c r="O29" s="4"/>
    </row>
    <row r="30" spans="1:15" x14ac:dyDescent="0.25">
      <c r="A30" s="4"/>
      <c r="J30" s="4"/>
      <c r="K30" s="4"/>
      <c r="O30" s="4"/>
    </row>
    <row r="31" spans="1:15" x14ac:dyDescent="0.25">
      <c r="A31" s="134" t="s">
        <v>19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45"/>
      <c r="O31" s="4"/>
    </row>
    <row r="32" spans="1:15" ht="12.75" customHeight="1" x14ac:dyDescent="0.25">
      <c r="O32" s="4"/>
    </row>
    <row r="33" spans="1:16" ht="51" x14ac:dyDescent="0.25">
      <c r="A33" s="14" t="s">
        <v>9</v>
      </c>
      <c r="B33" s="14" t="s">
        <v>77</v>
      </c>
      <c r="C33" s="14" t="s">
        <v>33</v>
      </c>
      <c r="D33" s="14" t="s">
        <v>34</v>
      </c>
      <c r="E33" s="14" t="s">
        <v>78</v>
      </c>
      <c r="F33" s="14" t="s">
        <v>35</v>
      </c>
      <c r="G33" s="14" t="s">
        <v>36</v>
      </c>
      <c r="H33" s="14" t="s">
        <v>37</v>
      </c>
      <c r="I33" s="14" t="s">
        <v>79</v>
      </c>
      <c r="J33" s="14" t="s">
        <v>80</v>
      </c>
      <c r="K33" s="46" t="s">
        <v>81</v>
      </c>
      <c r="L33" s="12"/>
      <c r="O33" s="4"/>
    </row>
    <row r="34" spans="1:16" x14ac:dyDescent="0.25">
      <c r="A34" s="47">
        <v>1</v>
      </c>
      <c r="B34" s="13">
        <v>2</v>
      </c>
      <c r="C34" s="13">
        <v>3</v>
      </c>
      <c r="D34" s="13">
        <v>4</v>
      </c>
      <c r="E34" s="13">
        <v>5</v>
      </c>
      <c r="F34" s="13">
        <v>6</v>
      </c>
      <c r="G34" s="13">
        <v>7</v>
      </c>
      <c r="H34" s="13">
        <v>8</v>
      </c>
      <c r="I34" s="13">
        <v>9</v>
      </c>
      <c r="J34" s="13">
        <v>10</v>
      </c>
      <c r="K34" s="48">
        <v>11</v>
      </c>
      <c r="L34" s="49"/>
      <c r="O34" s="4"/>
    </row>
    <row r="35" spans="1:16" x14ac:dyDescent="0.25">
      <c r="A35" s="50">
        <v>1</v>
      </c>
      <c r="B35" s="14">
        <v>12406</v>
      </c>
      <c r="C35" s="14">
        <v>22</v>
      </c>
      <c r="D35" s="23">
        <f>ROUND(B35/C35,2)</f>
        <v>563.91</v>
      </c>
      <c r="E35" s="24">
        <v>0.4</v>
      </c>
      <c r="F35" s="24">
        <v>0.1</v>
      </c>
      <c r="G35" s="23">
        <f>ROUND(D35*1.1/0.4,2)</f>
        <v>1550.75</v>
      </c>
      <c r="H35" s="25">
        <f>C52</f>
        <v>7</v>
      </c>
      <c r="I35" s="14">
        <f>F13</f>
        <v>27</v>
      </c>
      <c r="J35" s="26">
        <f>H13</f>
        <v>0.92200000000000004</v>
      </c>
      <c r="K35" s="51">
        <f>ROUND(G35*H35*I35*J35,2)</f>
        <v>270230.59000000003</v>
      </c>
      <c r="L35" s="9"/>
      <c r="O35" s="4"/>
    </row>
    <row r="36" spans="1:16" x14ac:dyDescent="0.25">
      <c r="A36" s="106">
        <v>3</v>
      </c>
      <c r="B36" s="14">
        <v>12406</v>
      </c>
      <c r="C36" s="14">
        <v>22</v>
      </c>
      <c r="D36" s="23">
        <f t="shared" ref="D36:D37" si="0">ROUND(B36/C36,2)</f>
        <v>563.91</v>
      </c>
      <c r="E36" s="24">
        <v>0.4</v>
      </c>
      <c r="F36" s="24">
        <v>0.1</v>
      </c>
      <c r="G36" s="14">
        <f t="shared" ref="G36:G37" si="1">ROUND(D36*1.1/0.4,2)</f>
        <v>1550.75</v>
      </c>
      <c r="H36" s="25">
        <f>C53</f>
        <v>44</v>
      </c>
      <c r="I36" s="14">
        <f>F22</f>
        <v>30</v>
      </c>
      <c r="J36" s="26">
        <f>H22</f>
        <v>0.81</v>
      </c>
      <c r="K36" s="51">
        <f t="shared" ref="K36:K37" si="2">ROUND(G36*H36*I36*J36,2)</f>
        <v>1658061.9</v>
      </c>
      <c r="L36" s="9"/>
      <c r="O36" s="4"/>
    </row>
    <row r="37" spans="1:16" x14ac:dyDescent="0.25">
      <c r="A37" s="19">
        <v>4</v>
      </c>
      <c r="B37" s="14">
        <v>12406</v>
      </c>
      <c r="C37" s="14">
        <v>22</v>
      </c>
      <c r="D37" s="23">
        <f t="shared" si="0"/>
        <v>563.91</v>
      </c>
      <c r="E37" s="24">
        <v>0.4</v>
      </c>
      <c r="F37" s="24">
        <v>0.1</v>
      </c>
      <c r="G37" s="14">
        <f t="shared" si="1"/>
        <v>1550.75</v>
      </c>
      <c r="H37" s="25">
        <f>C54</f>
        <v>7</v>
      </c>
      <c r="I37" s="14">
        <f>F29</f>
        <v>12</v>
      </c>
      <c r="J37" s="26">
        <f>H29</f>
        <v>0.871</v>
      </c>
      <c r="K37" s="51">
        <f t="shared" si="2"/>
        <v>113459.07</v>
      </c>
      <c r="L37" s="9"/>
      <c r="M37" s="39"/>
      <c r="N37" s="39"/>
      <c r="O37" s="4"/>
      <c r="P37" s="40"/>
    </row>
    <row r="38" spans="1:16" x14ac:dyDescent="0.25">
      <c r="O38" s="4"/>
    </row>
    <row r="39" spans="1:16" x14ac:dyDescent="0.25">
      <c r="A39" s="134" t="s">
        <v>20</v>
      </c>
      <c r="B39" s="134"/>
      <c r="C39" s="134"/>
      <c r="D39" s="134"/>
      <c r="E39" s="134"/>
      <c r="F39" s="134"/>
      <c r="G39" s="45"/>
      <c r="H39" s="45"/>
      <c r="I39" s="45"/>
      <c r="J39" s="45"/>
      <c r="K39" s="45"/>
      <c r="L39" s="45"/>
      <c r="O39" s="4"/>
    </row>
    <row r="40" spans="1:16" ht="12.75" customHeight="1" x14ac:dyDescent="0.25">
      <c r="J40" s="4"/>
      <c r="K40" s="4"/>
      <c r="L40" s="39"/>
      <c r="O40" s="4"/>
    </row>
    <row r="41" spans="1:16" ht="89.25" x14ac:dyDescent="0.25">
      <c r="A41" s="14" t="s">
        <v>9</v>
      </c>
      <c r="B41" s="14" t="s">
        <v>38</v>
      </c>
      <c r="C41" s="14" t="s">
        <v>72</v>
      </c>
      <c r="D41" s="14" t="s">
        <v>73</v>
      </c>
      <c r="E41" s="14" t="s">
        <v>39</v>
      </c>
      <c r="F41" s="109" t="s">
        <v>147</v>
      </c>
      <c r="G41" s="43"/>
      <c r="H41" s="43"/>
      <c r="J41" s="40"/>
      <c r="K41" s="4"/>
      <c r="O41" s="4"/>
    </row>
    <row r="42" spans="1:16" x14ac:dyDescent="0.25">
      <c r="A42" s="47">
        <v>1</v>
      </c>
      <c r="B42" s="13">
        <v>2</v>
      </c>
      <c r="C42" s="13">
        <v>3</v>
      </c>
      <c r="D42" s="13">
        <v>4</v>
      </c>
      <c r="E42" s="13">
        <v>5</v>
      </c>
      <c r="F42" s="13">
        <v>6</v>
      </c>
      <c r="I42" s="40"/>
      <c r="J42" s="4"/>
      <c r="K42" s="4"/>
      <c r="O42" s="4"/>
    </row>
    <row r="43" spans="1:16" x14ac:dyDescent="0.25">
      <c r="A43" s="50">
        <v>1</v>
      </c>
      <c r="B43" s="24">
        <f>K35</f>
        <v>270230.59000000003</v>
      </c>
      <c r="C43" s="26">
        <v>4.3780000000000001</v>
      </c>
      <c r="D43" s="24">
        <f>ROUND(C43*K35,2)</f>
        <v>1183069.52</v>
      </c>
      <c r="E43" s="24">
        <f>ROUND(D43*1.2,2)</f>
        <v>1419683.42</v>
      </c>
      <c r="F43" s="24">
        <f>E43/2.751669782</f>
        <v>515935.24386059487</v>
      </c>
      <c r="I43" s="40"/>
      <c r="J43" s="4"/>
      <c r="K43" s="4"/>
      <c r="O43" s="4"/>
    </row>
    <row r="44" spans="1:16" x14ac:dyDescent="0.25">
      <c r="A44" s="50">
        <v>3</v>
      </c>
      <c r="B44" s="24">
        <f>K36</f>
        <v>1658061.9</v>
      </c>
      <c r="C44" s="26">
        <v>4.3780000000000001</v>
      </c>
      <c r="D44" s="24">
        <f>ROUND(C44*K36,2)</f>
        <v>7258995</v>
      </c>
      <c r="E44" s="24">
        <f t="shared" ref="E44:E45" si="3">ROUND(D44*1.2,2)</f>
        <v>8710794</v>
      </c>
      <c r="F44" s="24">
        <f>E44/2.751669782</f>
        <v>3165639.2990835989</v>
      </c>
      <c r="I44" s="40"/>
      <c r="J44" s="4"/>
      <c r="K44" s="4"/>
      <c r="O44" s="4"/>
    </row>
    <row r="45" spans="1:16" x14ac:dyDescent="0.25">
      <c r="A45" s="50">
        <v>4</v>
      </c>
      <c r="B45" s="24">
        <f>K37</f>
        <v>113459.07</v>
      </c>
      <c r="C45" s="26">
        <v>4.3780000000000001</v>
      </c>
      <c r="D45" s="24">
        <f>ROUND(C45*K37,2)</f>
        <v>496723.81</v>
      </c>
      <c r="E45" s="24">
        <f t="shared" si="3"/>
        <v>596068.56999999995</v>
      </c>
      <c r="F45" s="24">
        <f>E45/2.751669782</f>
        <v>216620.67661576695</v>
      </c>
      <c r="I45" s="40"/>
      <c r="J45" s="4"/>
      <c r="K45" s="4"/>
      <c r="O45" s="4"/>
    </row>
    <row r="46" spans="1:16" x14ac:dyDescent="0.25">
      <c r="C46" s="8" t="s">
        <v>21</v>
      </c>
      <c r="D46" s="9">
        <f>SUM(D43:D45)</f>
        <v>8938788.3300000001</v>
      </c>
      <c r="E46" s="9">
        <f>SUM(E43:E43,E44:E45)</f>
        <v>10726545.99</v>
      </c>
      <c r="F46" s="52"/>
      <c r="I46" s="40"/>
      <c r="J46" s="4"/>
      <c r="K46" s="4"/>
      <c r="O46" s="4"/>
    </row>
    <row r="47" spans="1:16" x14ac:dyDescent="0.25">
      <c r="C47" s="8" t="s">
        <v>22</v>
      </c>
      <c r="D47" s="27">
        <f>D48-D46</f>
        <v>1787757.6600000001</v>
      </c>
      <c r="E47" s="27"/>
      <c r="F47" s="53"/>
      <c r="G47" s="6"/>
      <c r="H47" s="6"/>
      <c r="I47" s="6"/>
      <c r="J47" s="4"/>
      <c r="K47" s="40"/>
      <c r="O47" s="4"/>
    </row>
    <row r="48" spans="1:16" x14ac:dyDescent="0.25">
      <c r="C48" s="8" t="s">
        <v>23</v>
      </c>
      <c r="D48" s="27">
        <f>E46</f>
        <v>10726545.99</v>
      </c>
      <c r="E48" s="27"/>
      <c r="F48" s="53">
        <f>F43+F44+F45</f>
        <v>3898195.219559961</v>
      </c>
      <c r="G48" s="6"/>
      <c r="H48" s="6"/>
      <c r="I48" s="6"/>
      <c r="J48" s="4"/>
      <c r="K48" s="40"/>
      <c r="N48" s="40"/>
      <c r="O48" s="4"/>
    </row>
    <row r="49" spans="1:12" x14ac:dyDescent="0.25">
      <c r="F49" s="9"/>
      <c r="G49" s="9"/>
      <c r="J49" s="4"/>
      <c r="K49" s="4"/>
    </row>
    <row r="50" spans="1:12" x14ac:dyDescent="0.2">
      <c r="A50" s="54" t="s">
        <v>24</v>
      </c>
      <c r="B50" s="28" t="s">
        <v>25</v>
      </c>
      <c r="C50" s="28" t="s">
        <v>26</v>
      </c>
      <c r="D50" s="12"/>
      <c r="E50" s="55"/>
      <c r="F50" s="12"/>
      <c r="G50" s="30"/>
      <c r="J50" s="4"/>
      <c r="K50" s="4"/>
      <c r="L50" s="40"/>
    </row>
    <row r="51" spans="1:12" x14ac:dyDescent="0.2">
      <c r="A51" s="56"/>
      <c r="B51" s="29">
        <v>90</v>
      </c>
      <c r="C51" s="57">
        <f>ROUND(248/366*B51,0)</f>
        <v>61</v>
      </c>
      <c r="D51" s="58"/>
      <c r="E51" s="59"/>
      <c r="F51" s="12"/>
      <c r="G51" s="30"/>
      <c r="J51" s="4"/>
      <c r="K51" s="4"/>
      <c r="L51" s="40"/>
    </row>
    <row r="52" spans="1:12" x14ac:dyDescent="0.2">
      <c r="A52" s="66">
        <v>1</v>
      </c>
      <c r="B52" s="29">
        <v>10</v>
      </c>
      <c r="C52" s="29">
        <f t="shared" ref="C52:C55" si="4">ROUND(247/365*B52,0)</f>
        <v>7</v>
      </c>
      <c r="D52" s="58"/>
      <c r="E52" s="58"/>
      <c r="F52" s="12"/>
      <c r="G52" s="30"/>
      <c r="J52" s="4"/>
      <c r="K52" s="4"/>
    </row>
    <row r="53" spans="1:12" x14ac:dyDescent="0.2">
      <c r="A53" s="66">
        <v>3</v>
      </c>
      <c r="B53" s="29">
        <v>65</v>
      </c>
      <c r="C53" s="29">
        <f t="shared" si="4"/>
        <v>44</v>
      </c>
      <c r="D53" s="58"/>
      <c r="E53" s="58"/>
      <c r="F53" s="12"/>
      <c r="G53" s="30"/>
      <c r="J53" s="4"/>
      <c r="K53" s="4"/>
    </row>
    <row r="54" spans="1:12" x14ac:dyDescent="0.2">
      <c r="A54" s="60">
        <v>4</v>
      </c>
      <c r="B54" s="29">
        <v>10</v>
      </c>
      <c r="C54" s="29">
        <f t="shared" si="4"/>
        <v>7</v>
      </c>
      <c r="D54" s="30"/>
      <c r="E54" s="12"/>
      <c r="F54" s="12"/>
      <c r="G54" s="30"/>
      <c r="J54" s="4"/>
      <c r="K54" s="4"/>
    </row>
    <row r="55" spans="1:12" x14ac:dyDescent="0.2">
      <c r="A55" s="56" t="s">
        <v>71</v>
      </c>
      <c r="B55" s="29">
        <v>60</v>
      </c>
      <c r="C55" s="29">
        <f t="shared" si="4"/>
        <v>41</v>
      </c>
      <c r="D55" s="30" t="s">
        <v>28</v>
      </c>
      <c r="E55" s="30"/>
      <c r="F55" s="61"/>
      <c r="G55" s="30"/>
      <c r="H55" s="30"/>
      <c r="I55" s="10"/>
    </row>
    <row r="56" spans="1:12" x14ac:dyDescent="0.2">
      <c r="A56" s="11"/>
      <c r="B56" s="30"/>
      <c r="C56" s="30"/>
      <c r="D56" s="30"/>
      <c r="E56" s="30"/>
      <c r="F56" s="61"/>
      <c r="G56" s="12"/>
      <c r="H56" s="30"/>
      <c r="I56" s="12"/>
    </row>
    <row r="57" spans="1:12" x14ac:dyDescent="0.2">
      <c r="A57" s="11"/>
      <c r="B57" s="30"/>
      <c r="C57" s="30"/>
      <c r="D57" s="30"/>
      <c r="E57" s="30"/>
      <c r="F57" s="61"/>
      <c r="G57" s="30"/>
      <c r="H57" s="30"/>
      <c r="I57" s="10"/>
    </row>
    <row r="58" spans="1:12" x14ac:dyDescent="0.2">
      <c r="A58" s="11"/>
      <c r="B58" s="30"/>
      <c r="C58" s="30"/>
      <c r="D58" s="30"/>
      <c r="E58" s="30"/>
      <c r="F58" s="61"/>
      <c r="G58" s="30"/>
      <c r="H58" s="30"/>
      <c r="I58" s="10"/>
    </row>
    <row r="59" spans="1:12" x14ac:dyDescent="0.2">
      <c r="A59" s="11"/>
      <c r="B59" s="30"/>
      <c r="C59" s="30"/>
      <c r="D59" s="30"/>
      <c r="E59" s="30"/>
      <c r="F59" s="61"/>
      <c r="G59" s="30"/>
      <c r="H59" s="30"/>
      <c r="I59" s="10"/>
    </row>
    <row r="60" spans="1:12" x14ac:dyDescent="0.2">
      <c r="A60" s="11"/>
      <c r="B60" s="30"/>
      <c r="C60" s="30"/>
      <c r="D60" s="30"/>
      <c r="E60" s="30"/>
      <c r="F60" s="61"/>
      <c r="G60" s="30"/>
      <c r="H60" s="30"/>
      <c r="I60" s="10"/>
    </row>
    <row r="61" spans="1:12" x14ac:dyDescent="0.2">
      <c r="A61" s="11"/>
      <c r="B61" s="30"/>
      <c r="C61" s="30"/>
      <c r="D61" s="30"/>
      <c r="E61" s="30"/>
      <c r="F61" s="61"/>
      <c r="G61" s="30"/>
      <c r="H61" s="30"/>
      <c r="I61" s="10"/>
    </row>
    <row r="62" spans="1:12" x14ac:dyDescent="0.2">
      <c r="A62" s="11"/>
      <c r="B62" s="30"/>
      <c r="C62" s="12"/>
      <c r="D62" s="30"/>
      <c r="E62" s="30"/>
      <c r="F62" s="61"/>
      <c r="G62" s="30"/>
      <c r="H62" s="30"/>
      <c r="I62" s="10"/>
    </row>
    <row r="63" spans="1:12" x14ac:dyDescent="0.2">
      <c r="A63" s="11"/>
      <c r="B63" s="30"/>
      <c r="C63" s="12"/>
      <c r="D63" s="30"/>
      <c r="E63" s="30"/>
      <c r="F63" s="61"/>
      <c r="G63" s="30"/>
      <c r="H63" s="30"/>
      <c r="I63" s="10"/>
    </row>
    <row r="64" spans="1:12" x14ac:dyDescent="0.2">
      <c r="A64" s="11"/>
      <c r="B64" s="30"/>
      <c r="C64" s="12"/>
      <c r="D64" s="30"/>
      <c r="E64" s="30"/>
      <c r="F64" s="61"/>
      <c r="G64" s="30"/>
      <c r="H64" s="30"/>
      <c r="I64" s="10"/>
    </row>
    <row r="65" spans="1:9" x14ac:dyDescent="0.2">
      <c r="A65" s="11"/>
      <c r="B65" s="30"/>
      <c r="C65" s="12"/>
      <c r="D65" s="30"/>
      <c r="E65" s="30"/>
      <c r="F65" s="61"/>
      <c r="G65" s="30"/>
      <c r="H65" s="30"/>
      <c r="I65" s="10"/>
    </row>
    <row r="66" spans="1:9" x14ac:dyDescent="0.2">
      <c r="A66" s="11"/>
      <c r="B66" s="30"/>
      <c r="C66" s="30"/>
      <c r="D66" s="30"/>
      <c r="E66" s="30"/>
      <c r="F66" s="61"/>
      <c r="G66" s="30"/>
      <c r="H66" s="30"/>
      <c r="I66" s="10"/>
    </row>
    <row r="67" spans="1:9" x14ac:dyDescent="0.2">
      <c r="A67" s="11"/>
      <c r="B67" s="30"/>
      <c r="C67" s="30"/>
      <c r="D67" s="30"/>
      <c r="E67" s="30"/>
      <c r="F67" s="61"/>
      <c r="G67" s="30"/>
      <c r="H67" s="30"/>
      <c r="I67" s="10"/>
    </row>
    <row r="68" spans="1:9" x14ac:dyDescent="0.2">
      <c r="A68" s="11"/>
      <c r="B68" s="30"/>
      <c r="C68" s="30"/>
      <c r="D68" s="30"/>
      <c r="E68" s="30"/>
      <c r="F68" s="61"/>
      <c r="G68" s="30"/>
      <c r="H68" s="30"/>
      <c r="I68" s="10"/>
    </row>
    <row r="69" spans="1:9" x14ac:dyDescent="0.2">
      <c r="A69" s="11"/>
      <c r="B69" s="30"/>
      <c r="C69" s="30"/>
      <c r="D69" s="30"/>
      <c r="E69" s="30"/>
      <c r="F69" s="61"/>
      <c r="G69" s="30"/>
      <c r="H69" s="30"/>
      <c r="I69" s="10"/>
    </row>
    <row r="70" spans="1:9" x14ac:dyDescent="0.2">
      <c r="A70" s="11"/>
      <c r="B70" s="30"/>
      <c r="C70" s="30"/>
      <c r="D70" s="30"/>
      <c r="E70" s="30"/>
      <c r="F70" s="61"/>
      <c r="G70" s="30"/>
      <c r="H70" s="30"/>
      <c r="I70" s="10"/>
    </row>
    <row r="71" spans="1:9" x14ac:dyDescent="0.2">
      <c r="A71" s="11"/>
      <c r="B71" s="30"/>
      <c r="C71" s="30"/>
      <c r="D71" s="30"/>
      <c r="E71" s="30"/>
      <c r="F71" s="61"/>
      <c r="G71" s="30"/>
      <c r="H71" s="30"/>
      <c r="I71" s="10"/>
    </row>
    <row r="72" spans="1:9" x14ac:dyDescent="0.2">
      <c r="A72" s="11"/>
      <c r="B72" s="30"/>
      <c r="C72" s="30"/>
      <c r="D72" s="30"/>
      <c r="E72" s="30"/>
      <c r="F72" s="61"/>
      <c r="G72" s="30"/>
      <c r="H72" s="30"/>
      <c r="I72" s="10"/>
    </row>
    <row r="73" spans="1:9" x14ac:dyDescent="0.2">
      <c r="A73" s="11"/>
      <c r="B73" s="30"/>
      <c r="C73" s="30"/>
      <c r="D73" s="30"/>
      <c r="E73" s="30"/>
      <c r="F73" s="61"/>
      <c r="G73" s="30"/>
      <c r="H73" s="30"/>
      <c r="I73" s="10"/>
    </row>
    <row r="74" spans="1:9" x14ac:dyDescent="0.2">
      <c r="A74" s="11"/>
      <c r="B74" s="30"/>
      <c r="C74" s="30"/>
      <c r="D74" s="30"/>
      <c r="E74" s="30"/>
      <c r="F74" s="61"/>
      <c r="G74" s="30"/>
      <c r="H74" s="30"/>
      <c r="I74" s="10"/>
    </row>
    <row r="75" spans="1:9" x14ac:dyDescent="0.2">
      <c r="A75" s="11"/>
      <c r="B75" s="30"/>
      <c r="C75" s="30"/>
      <c r="D75" s="30"/>
      <c r="E75" s="30"/>
      <c r="F75" s="61"/>
      <c r="G75" s="30"/>
      <c r="H75" s="30"/>
      <c r="I75" s="10"/>
    </row>
    <row r="76" spans="1:9" x14ac:dyDescent="0.2">
      <c r="A76" s="11"/>
      <c r="B76" s="30"/>
      <c r="C76" s="30"/>
      <c r="D76" s="30"/>
      <c r="E76" s="30"/>
      <c r="F76" s="61"/>
      <c r="G76" s="30"/>
      <c r="H76" s="30"/>
      <c r="I76" s="10"/>
    </row>
    <row r="77" spans="1:9" x14ac:dyDescent="0.2">
      <c r="A77" s="11"/>
      <c r="B77" s="30"/>
      <c r="C77" s="30"/>
      <c r="D77" s="30"/>
      <c r="E77" s="30"/>
      <c r="F77" s="61"/>
      <c r="G77" s="30"/>
      <c r="H77" s="30"/>
      <c r="I77" s="10"/>
    </row>
    <row r="78" spans="1:9" x14ac:dyDescent="0.2">
      <c r="A78" s="11"/>
      <c r="B78" s="30"/>
      <c r="C78" s="30"/>
      <c r="D78" s="30"/>
      <c r="E78" s="30"/>
      <c r="F78" s="61"/>
      <c r="G78" s="30"/>
      <c r="H78" s="30"/>
      <c r="I78" s="10"/>
    </row>
    <row r="79" spans="1:9" x14ac:dyDescent="0.2">
      <c r="A79" s="11"/>
      <c r="B79" s="30"/>
      <c r="C79" s="30"/>
      <c r="D79" s="30"/>
      <c r="E79" s="30"/>
      <c r="F79" s="61"/>
      <c r="G79" s="30"/>
      <c r="H79" s="30"/>
      <c r="I79" s="10"/>
    </row>
    <row r="80" spans="1:9" x14ac:dyDescent="0.2">
      <c r="A80" s="11"/>
      <c r="B80" s="30"/>
      <c r="C80" s="12"/>
      <c r="D80" s="30"/>
      <c r="E80" s="30"/>
      <c r="F80" s="61"/>
      <c r="G80" s="30"/>
      <c r="H80" s="30"/>
      <c r="I80" s="10"/>
    </row>
    <row r="81" spans="1:9" x14ac:dyDescent="0.2">
      <c r="A81" s="11"/>
      <c r="B81" s="30"/>
      <c r="C81" s="12"/>
      <c r="D81" s="30"/>
      <c r="E81" s="30"/>
      <c r="F81" s="61"/>
      <c r="G81" s="30"/>
      <c r="H81" s="12"/>
      <c r="I81" s="10"/>
    </row>
    <row r="82" spans="1:9" x14ac:dyDescent="0.2">
      <c r="A82" s="11"/>
      <c r="B82" s="30"/>
      <c r="C82" s="12"/>
      <c r="D82" s="30"/>
      <c r="E82" s="30"/>
      <c r="F82" s="61"/>
      <c r="G82" s="30"/>
      <c r="H82" s="12"/>
      <c r="I82" s="10"/>
    </row>
    <row r="83" spans="1:9" x14ac:dyDescent="0.2">
      <c r="A83" s="11"/>
      <c r="B83" s="30"/>
      <c r="C83" s="12"/>
      <c r="D83" s="30"/>
      <c r="E83" s="30"/>
      <c r="F83" s="61"/>
      <c r="G83" s="30"/>
      <c r="H83" s="12"/>
      <c r="I83" s="10"/>
    </row>
    <row r="84" spans="1:9" x14ac:dyDescent="0.2">
      <c r="A84" s="11"/>
      <c r="B84" s="30"/>
      <c r="C84" s="12"/>
      <c r="D84" s="30"/>
      <c r="E84" s="30"/>
      <c r="F84" s="61"/>
      <c r="G84" s="30"/>
      <c r="H84" s="30"/>
      <c r="I84" s="10"/>
    </row>
    <row r="85" spans="1:9" x14ac:dyDescent="0.2">
      <c r="A85" s="11"/>
      <c r="B85" s="30"/>
      <c r="C85" s="12"/>
      <c r="D85" s="30"/>
      <c r="E85" s="30"/>
      <c r="F85" s="61"/>
      <c r="G85" s="30"/>
      <c r="H85" s="30"/>
      <c r="I85" s="10"/>
    </row>
    <row r="86" spans="1:9" x14ac:dyDescent="0.2">
      <c r="A86" s="11"/>
      <c r="B86" s="30"/>
      <c r="C86" s="12"/>
      <c r="D86" s="30"/>
      <c r="E86" s="30"/>
      <c r="F86" s="61"/>
      <c r="G86" s="30"/>
      <c r="H86" s="30"/>
      <c r="I86" s="10"/>
    </row>
    <row r="87" spans="1:9" x14ac:dyDescent="0.2">
      <c r="A87" s="11"/>
      <c r="B87" s="30"/>
      <c r="C87" s="12"/>
      <c r="D87" s="30"/>
      <c r="E87" s="30"/>
      <c r="F87" s="61"/>
      <c r="G87" s="30"/>
      <c r="H87" s="30"/>
      <c r="I87" s="10"/>
    </row>
    <row r="88" spans="1:9" x14ac:dyDescent="0.2">
      <c r="A88" s="11"/>
      <c r="B88" s="30"/>
      <c r="C88" s="12"/>
      <c r="D88" s="30"/>
      <c r="E88" s="30"/>
      <c r="F88" s="61"/>
      <c r="G88" s="30"/>
      <c r="H88" s="30"/>
      <c r="I88" s="10"/>
    </row>
    <row r="89" spans="1:9" x14ac:dyDescent="0.2">
      <c r="A89" s="11"/>
      <c r="B89" s="30"/>
      <c r="C89" s="12"/>
      <c r="D89" s="30"/>
      <c r="E89" s="30"/>
      <c r="F89" s="61"/>
      <c r="G89" s="30"/>
      <c r="H89" s="30"/>
      <c r="I89" s="10"/>
    </row>
    <row r="90" spans="1:9" x14ac:dyDescent="0.2">
      <c r="A90" s="11"/>
      <c r="B90" s="30"/>
      <c r="C90" s="12"/>
      <c r="D90" s="30"/>
      <c r="E90" s="30"/>
      <c r="F90" s="61"/>
      <c r="G90" s="30"/>
      <c r="H90" s="30"/>
      <c r="I90" s="10"/>
    </row>
    <row r="91" spans="1:9" x14ac:dyDescent="0.2">
      <c r="A91" s="11"/>
      <c r="B91" s="30"/>
      <c r="C91" s="12"/>
      <c r="D91" s="30"/>
      <c r="E91" s="30"/>
      <c r="F91" s="61"/>
      <c r="G91" s="30"/>
      <c r="H91" s="30"/>
      <c r="I91" s="10"/>
    </row>
    <row r="92" spans="1:9" x14ac:dyDescent="0.2">
      <c r="A92" s="11"/>
      <c r="B92" s="30"/>
      <c r="C92" s="12"/>
      <c r="D92" s="30"/>
      <c r="E92" s="30"/>
      <c r="F92" s="61"/>
      <c r="G92" s="30"/>
      <c r="H92" s="30"/>
      <c r="I92" s="10"/>
    </row>
    <row r="93" spans="1:9" x14ac:dyDescent="0.2">
      <c r="A93" s="11"/>
      <c r="B93" s="12"/>
      <c r="C93" s="12"/>
      <c r="D93" s="12"/>
      <c r="E93" s="12"/>
      <c r="F93" s="10"/>
      <c r="G93" s="30"/>
      <c r="H93" s="30"/>
      <c r="I93" s="10"/>
    </row>
    <row r="94" spans="1:9" x14ac:dyDescent="0.2">
      <c r="A94" s="62"/>
      <c r="B94" s="12"/>
      <c r="C94" s="12"/>
      <c r="D94" s="12"/>
      <c r="E94" s="12"/>
      <c r="F94" s="12"/>
      <c r="G94" s="30"/>
      <c r="H94" s="30"/>
      <c r="I94" s="10"/>
    </row>
    <row r="95" spans="1:9" x14ac:dyDescent="0.2">
      <c r="A95" s="62"/>
      <c r="B95" s="12"/>
      <c r="C95" s="12"/>
      <c r="D95" s="12"/>
      <c r="E95" s="12"/>
      <c r="F95" s="12"/>
      <c r="G95" s="11"/>
      <c r="H95" s="30"/>
      <c r="I95" s="10"/>
    </row>
    <row r="96" spans="1:9" x14ac:dyDescent="0.2">
      <c r="A96" s="30"/>
      <c r="B96" s="30"/>
      <c r="C96" s="30"/>
      <c r="D96" s="30"/>
      <c r="E96" s="30"/>
      <c r="F96" s="61"/>
      <c r="G96" s="12"/>
      <c r="H96" s="30"/>
      <c r="I96" s="12"/>
    </row>
    <row r="97" spans="1:9" x14ac:dyDescent="0.2">
      <c r="A97" s="11"/>
      <c r="B97" s="30"/>
      <c r="C97" s="30"/>
      <c r="D97" s="30"/>
      <c r="E97" s="30"/>
      <c r="F97" s="61"/>
      <c r="G97" s="12"/>
      <c r="H97" s="30"/>
      <c r="I97" s="12"/>
    </row>
    <row r="98" spans="1:9" x14ac:dyDescent="0.2">
      <c r="A98" s="11"/>
      <c r="B98" s="30"/>
      <c r="C98" s="30"/>
      <c r="D98" s="30"/>
      <c r="E98" s="30"/>
      <c r="F98" s="61"/>
      <c r="G98" s="30"/>
      <c r="H98" s="30"/>
      <c r="I98" s="10"/>
    </row>
    <row r="99" spans="1:9" x14ac:dyDescent="0.2">
      <c r="A99" s="11"/>
      <c r="B99" s="30"/>
      <c r="C99" s="30"/>
      <c r="D99" s="30"/>
      <c r="E99" s="30"/>
      <c r="F99" s="61"/>
      <c r="G99" s="30"/>
      <c r="H99" s="30"/>
      <c r="I99" s="10"/>
    </row>
    <row r="100" spans="1:9" x14ac:dyDescent="0.2">
      <c r="A100" s="11"/>
      <c r="B100" s="30"/>
      <c r="C100" s="30"/>
      <c r="D100" s="30"/>
      <c r="E100" s="30"/>
      <c r="F100" s="61"/>
      <c r="G100" s="30"/>
      <c r="H100" s="30"/>
      <c r="I100" s="10"/>
    </row>
    <row r="101" spans="1:9" x14ac:dyDescent="0.2">
      <c r="A101" s="11"/>
      <c r="B101" s="30"/>
      <c r="C101" s="12"/>
      <c r="D101" s="30"/>
      <c r="E101" s="30"/>
      <c r="F101" s="61"/>
      <c r="G101" s="30"/>
      <c r="H101" s="30"/>
      <c r="I101" s="10"/>
    </row>
    <row r="102" spans="1:9" x14ac:dyDescent="0.2">
      <c r="A102" s="11"/>
      <c r="B102" s="30"/>
      <c r="C102" s="12"/>
      <c r="D102" s="30"/>
      <c r="E102" s="30"/>
      <c r="F102" s="61"/>
      <c r="G102" s="30"/>
      <c r="H102" s="30"/>
      <c r="I102" s="10"/>
    </row>
    <row r="103" spans="1:9" x14ac:dyDescent="0.2">
      <c r="A103" s="11"/>
      <c r="B103" s="30"/>
      <c r="C103" s="12"/>
      <c r="D103" s="30"/>
      <c r="E103" s="30"/>
      <c r="F103" s="61"/>
      <c r="G103" s="30"/>
      <c r="H103" s="30"/>
      <c r="I103" s="10"/>
    </row>
    <row r="104" spans="1:9" x14ac:dyDescent="0.2">
      <c r="A104" s="11"/>
      <c r="B104" s="30"/>
      <c r="C104" s="12"/>
      <c r="D104" s="30"/>
      <c r="E104" s="30"/>
      <c r="F104" s="61"/>
      <c r="G104" s="30"/>
      <c r="H104" s="30"/>
      <c r="I104" s="10"/>
    </row>
    <row r="105" spans="1:9" x14ac:dyDescent="0.2">
      <c r="A105" s="11"/>
      <c r="B105" s="30"/>
      <c r="C105" s="12"/>
      <c r="D105" s="30"/>
      <c r="E105" s="30"/>
      <c r="F105" s="61"/>
      <c r="G105" s="30"/>
      <c r="H105" s="30"/>
      <c r="I105" s="10"/>
    </row>
    <row r="106" spans="1:9" x14ac:dyDescent="0.2">
      <c r="A106" s="11"/>
      <c r="B106" s="30"/>
      <c r="C106" s="30"/>
      <c r="D106" s="30"/>
      <c r="E106" s="30"/>
      <c r="F106" s="61"/>
      <c r="G106" s="30"/>
      <c r="H106" s="30"/>
      <c r="I106" s="10"/>
    </row>
    <row r="107" spans="1:9" x14ac:dyDescent="0.2">
      <c r="A107" s="11"/>
      <c r="B107" s="30"/>
      <c r="C107" s="30"/>
      <c r="D107" s="30"/>
      <c r="E107" s="30"/>
      <c r="F107" s="61"/>
      <c r="G107" s="30"/>
      <c r="H107" s="30"/>
      <c r="I107" s="10"/>
    </row>
    <row r="108" spans="1:9" x14ac:dyDescent="0.2">
      <c r="A108" s="11"/>
      <c r="B108" s="30"/>
      <c r="C108" s="30"/>
      <c r="D108" s="30"/>
      <c r="E108" s="30"/>
      <c r="F108" s="61"/>
      <c r="G108" s="30"/>
      <c r="H108" s="30"/>
      <c r="I108" s="10"/>
    </row>
    <row r="109" spans="1:9" x14ac:dyDescent="0.2">
      <c r="A109" s="11"/>
      <c r="B109" s="30"/>
      <c r="C109" s="30"/>
      <c r="D109" s="30"/>
      <c r="E109" s="30"/>
      <c r="F109" s="61"/>
      <c r="G109" s="30"/>
      <c r="H109" s="30"/>
      <c r="I109" s="10"/>
    </row>
    <row r="110" spans="1:9" x14ac:dyDescent="0.2">
      <c r="A110" s="11"/>
      <c r="B110" s="30"/>
      <c r="C110" s="30"/>
      <c r="D110" s="30"/>
      <c r="E110" s="30"/>
      <c r="F110" s="61"/>
      <c r="G110" s="30"/>
      <c r="H110" s="30"/>
      <c r="I110" s="10"/>
    </row>
    <row r="111" spans="1:9" x14ac:dyDescent="0.2">
      <c r="A111" s="11"/>
      <c r="B111" s="30"/>
      <c r="C111" s="30"/>
      <c r="D111" s="30"/>
      <c r="E111" s="30"/>
      <c r="F111" s="61"/>
      <c r="G111" s="30"/>
      <c r="H111" s="30"/>
      <c r="I111" s="10"/>
    </row>
    <row r="112" spans="1:9" x14ac:dyDescent="0.2">
      <c r="A112" s="11"/>
      <c r="B112" s="30"/>
      <c r="C112" s="30"/>
      <c r="D112" s="30"/>
      <c r="E112" s="30"/>
      <c r="F112" s="61"/>
      <c r="G112" s="30"/>
      <c r="H112" s="30"/>
      <c r="I112" s="10"/>
    </row>
    <row r="113" spans="1:9" x14ac:dyDescent="0.2">
      <c r="A113" s="11"/>
      <c r="B113" s="30"/>
      <c r="C113" s="30"/>
      <c r="D113" s="30"/>
      <c r="E113" s="30"/>
      <c r="F113" s="61"/>
      <c r="G113" s="30"/>
      <c r="H113" s="30"/>
      <c r="I113" s="10"/>
    </row>
    <row r="114" spans="1:9" x14ac:dyDescent="0.2">
      <c r="A114" s="11"/>
      <c r="B114" s="30"/>
      <c r="C114" s="30"/>
      <c r="D114" s="30"/>
      <c r="E114" s="30"/>
      <c r="F114" s="61"/>
      <c r="G114" s="30"/>
      <c r="H114" s="30"/>
      <c r="I114" s="10"/>
    </row>
    <row r="115" spans="1:9" x14ac:dyDescent="0.2">
      <c r="A115" s="11"/>
      <c r="B115" s="30"/>
      <c r="C115" s="30"/>
      <c r="D115" s="30"/>
      <c r="E115" s="30"/>
      <c r="F115" s="61"/>
      <c r="G115" s="30"/>
      <c r="H115" s="30"/>
      <c r="I115" s="10"/>
    </row>
    <row r="116" spans="1:9" x14ac:dyDescent="0.2">
      <c r="A116" s="11"/>
      <c r="B116" s="30"/>
      <c r="C116" s="30"/>
      <c r="D116" s="30"/>
      <c r="E116" s="30"/>
      <c r="F116" s="61"/>
      <c r="G116" s="30"/>
      <c r="H116" s="30"/>
      <c r="I116" s="10"/>
    </row>
    <row r="117" spans="1:9" x14ac:dyDescent="0.2">
      <c r="A117" s="11"/>
      <c r="B117" s="30"/>
      <c r="C117" s="30"/>
      <c r="D117" s="30"/>
      <c r="E117" s="30"/>
      <c r="F117" s="61"/>
      <c r="G117" s="30"/>
      <c r="H117" s="12"/>
      <c r="I117" s="10"/>
    </row>
    <row r="118" spans="1:9" x14ac:dyDescent="0.2">
      <c r="A118" s="11"/>
      <c r="B118" s="30"/>
      <c r="C118" s="30"/>
      <c r="D118" s="30"/>
      <c r="E118" s="30"/>
      <c r="F118" s="61"/>
      <c r="G118" s="30"/>
      <c r="H118" s="12"/>
      <c r="I118" s="10"/>
    </row>
    <row r="119" spans="1:9" x14ac:dyDescent="0.2">
      <c r="A119" s="11"/>
      <c r="B119" s="30"/>
      <c r="C119" s="30"/>
      <c r="D119" s="30"/>
      <c r="E119" s="30"/>
      <c r="F119" s="61"/>
      <c r="G119" s="30"/>
      <c r="H119" s="30"/>
      <c r="I119" s="10"/>
    </row>
    <row r="120" spans="1:9" x14ac:dyDescent="0.2">
      <c r="A120" s="11"/>
      <c r="B120" s="30"/>
      <c r="C120" s="12"/>
      <c r="D120" s="30"/>
      <c r="E120" s="30"/>
      <c r="F120" s="61"/>
      <c r="G120" s="30"/>
      <c r="H120" s="30"/>
      <c r="I120" s="10"/>
    </row>
    <row r="121" spans="1:9" x14ac:dyDescent="0.2">
      <c r="A121" s="11"/>
      <c r="B121" s="30"/>
      <c r="C121" s="12"/>
      <c r="D121" s="30"/>
      <c r="E121" s="30"/>
      <c r="F121" s="61"/>
      <c r="G121" s="30"/>
      <c r="H121" s="30"/>
      <c r="I121" s="10"/>
    </row>
    <row r="122" spans="1:9" x14ac:dyDescent="0.2">
      <c r="A122" s="11"/>
      <c r="B122" s="30"/>
      <c r="C122" s="12"/>
      <c r="D122" s="30"/>
      <c r="E122" s="30"/>
      <c r="F122" s="61"/>
      <c r="G122" s="30"/>
      <c r="H122" s="30"/>
      <c r="I122" s="10"/>
    </row>
    <row r="123" spans="1:9" x14ac:dyDescent="0.2">
      <c r="A123" s="11"/>
      <c r="B123" s="30"/>
      <c r="C123" s="12"/>
      <c r="D123" s="30"/>
      <c r="E123" s="30"/>
      <c r="F123" s="61"/>
      <c r="G123" s="30"/>
      <c r="H123" s="30"/>
      <c r="I123" s="10"/>
    </row>
    <row r="124" spans="1:9" x14ac:dyDescent="0.2">
      <c r="A124" s="11"/>
      <c r="B124" s="30"/>
      <c r="C124" s="12"/>
      <c r="D124" s="30"/>
      <c r="E124" s="30"/>
      <c r="F124" s="61"/>
      <c r="G124" s="30"/>
      <c r="H124" s="30"/>
      <c r="I124" s="10"/>
    </row>
    <row r="125" spans="1:9" x14ac:dyDescent="0.2">
      <c r="A125" s="11"/>
      <c r="B125" s="30"/>
      <c r="C125" s="12"/>
      <c r="D125" s="30"/>
      <c r="E125" s="30"/>
      <c r="F125" s="61"/>
      <c r="G125" s="30"/>
      <c r="H125" s="30"/>
      <c r="I125" s="10"/>
    </row>
    <row r="126" spans="1:9" x14ac:dyDescent="0.2">
      <c r="A126" s="11"/>
      <c r="B126" s="30"/>
      <c r="C126" s="12"/>
      <c r="D126" s="30"/>
      <c r="E126" s="30"/>
      <c r="F126" s="61"/>
      <c r="G126" s="30"/>
      <c r="H126" s="30"/>
      <c r="I126" s="10"/>
    </row>
    <row r="127" spans="1:9" x14ac:dyDescent="0.2">
      <c r="A127" s="11"/>
      <c r="B127" s="30"/>
      <c r="C127" s="12"/>
      <c r="D127" s="30"/>
      <c r="E127" s="30"/>
      <c r="F127" s="61"/>
      <c r="G127" s="30"/>
      <c r="H127" s="30"/>
      <c r="I127" s="10"/>
    </row>
    <row r="128" spans="1:9" x14ac:dyDescent="0.2">
      <c r="A128" s="11"/>
      <c r="B128" s="30"/>
      <c r="C128" s="12"/>
      <c r="D128" s="30"/>
      <c r="E128" s="30"/>
      <c r="F128" s="61"/>
      <c r="G128" s="30"/>
      <c r="H128" s="30"/>
      <c r="I128" s="10"/>
    </row>
    <row r="129" spans="1:9" x14ac:dyDescent="0.2">
      <c r="A129" s="11"/>
      <c r="B129" s="30"/>
      <c r="C129" s="12"/>
      <c r="D129" s="12"/>
      <c r="E129" s="12"/>
      <c r="F129" s="10"/>
      <c r="G129" s="30"/>
      <c r="H129" s="30"/>
      <c r="I129" s="10"/>
    </row>
    <row r="130" spans="1:9" x14ac:dyDescent="0.2">
      <c r="A130" s="62"/>
      <c r="B130" s="30"/>
      <c r="C130" s="12"/>
      <c r="D130" s="12"/>
      <c r="E130" s="12"/>
      <c r="F130" s="12"/>
      <c r="G130" s="30"/>
      <c r="H130" s="30"/>
      <c r="I130" s="10"/>
    </row>
    <row r="131" spans="1:9" x14ac:dyDescent="0.2">
      <c r="A131" s="30"/>
      <c r="B131" s="30"/>
      <c r="C131" s="12"/>
      <c r="D131" s="30"/>
      <c r="E131" s="30"/>
      <c r="F131" s="61"/>
      <c r="G131" s="11"/>
      <c r="H131" s="30"/>
      <c r="I131" s="10"/>
    </row>
    <row r="132" spans="1:9" x14ac:dyDescent="0.2">
      <c r="A132" s="62"/>
      <c r="B132" s="30"/>
      <c r="C132" s="12"/>
      <c r="D132" s="30"/>
      <c r="E132" s="30"/>
      <c r="F132" s="61"/>
      <c r="G132" s="12"/>
      <c r="H132" s="30"/>
      <c r="I132" s="12"/>
    </row>
    <row r="133" spans="1:9" x14ac:dyDescent="0.2">
      <c r="A133" s="62"/>
      <c r="B133" s="30"/>
      <c r="C133" s="12"/>
      <c r="D133" s="30"/>
      <c r="E133" s="30"/>
      <c r="F133" s="61"/>
      <c r="G133" s="30"/>
      <c r="H133" s="30"/>
      <c r="I133" s="10"/>
    </row>
    <row r="134" spans="1:9" x14ac:dyDescent="0.2">
      <c r="A134" s="62"/>
      <c r="B134" s="30"/>
      <c r="C134" s="12"/>
      <c r="D134" s="30"/>
      <c r="E134" s="30"/>
      <c r="F134" s="61"/>
      <c r="G134" s="30"/>
      <c r="H134" s="30"/>
      <c r="I134" s="10"/>
    </row>
    <row r="135" spans="1:9" x14ac:dyDescent="0.2">
      <c r="A135" s="62"/>
      <c r="B135" s="30"/>
      <c r="C135" s="12"/>
      <c r="D135" s="30"/>
      <c r="E135" s="30"/>
      <c r="F135" s="61"/>
      <c r="G135" s="30"/>
      <c r="H135" s="30"/>
      <c r="I135" s="10"/>
    </row>
    <row r="136" spans="1:9" x14ac:dyDescent="0.2">
      <c r="A136" s="62"/>
      <c r="B136" s="30"/>
      <c r="C136" s="12"/>
      <c r="D136" s="30"/>
      <c r="E136" s="30"/>
      <c r="F136" s="61"/>
      <c r="G136" s="30"/>
      <c r="H136" s="30"/>
      <c r="I136" s="10"/>
    </row>
    <row r="137" spans="1:9" x14ac:dyDescent="0.2">
      <c r="A137" s="62"/>
      <c r="B137" s="30"/>
      <c r="C137" s="12"/>
      <c r="D137" s="30"/>
      <c r="E137" s="30"/>
      <c r="F137" s="61"/>
      <c r="G137" s="30"/>
      <c r="H137" s="30"/>
      <c r="I137" s="10"/>
    </row>
    <row r="138" spans="1:9" x14ac:dyDescent="0.2">
      <c r="A138" s="62"/>
      <c r="B138" s="30"/>
      <c r="C138" s="12"/>
      <c r="D138" s="30"/>
      <c r="E138" s="30"/>
      <c r="F138" s="61"/>
      <c r="G138" s="30"/>
      <c r="H138" s="30"/>
      <c r="I138" s="10"/>
    </row>
    <row r="139" spans="1:9" x14ac:dyDescent="0.2">
      <c r="A139" s="62"/>
      <c r="B139" s="30"/>
      <c r="C139" s="12"/>
      <c r="D139" s="30"/>
      <c r="E139" s="30"/>
      <c r="F139" s="61"/>
      <c r="G139" s="30"/>
      <c r="H139" s="30"/>
      <c r="I139" s="10"/>
    </row>
    <row r="140" spans="1:9" x14ac:dyDescent="0.2">
      <c r="A140" s="62"/>
      <c r="B140" s="30"/>
      <c r="C140" s="12"/>
      <c r="D140" s="30"/>
      <c r="E140" s="30"/>
      <c r="F140" s="61"/>
      <c r="G140" s="30"/>
      <c r="H140" s="30"/>
      <c r="I140" s="10"/>
    </row>
    <row r="141" spans="1:9" x14ac:dyDescent="0.2">
      <c r="A141" s="62"/>
      <c r="B141" s="30"/>
      <c r="C141" s="12"/>
      <c r="D141" s="30"/>
      <c r="E141" s="30"/>
      <c r="F141" s="61"/>
      <c r="G141" s="30"/>
      <c r="H141" s="30"/>
      <c r="I141" s="10"/>
    </row>
    <row r="142" spans="1:9" x14ac:dyDescent="0.2">
      <c r="A142" s="62"/>
      <c r="B142" s="30"/>
      <c r="C142" s="12"/>
      <c r="D142" s="30"/>
      <c r="E142" s="30"/>
      <c r="F142" s="61"/>
      <c r="G142" s="30"/>
      <c r="H142" s="30"/>
      <c r="I142" s="10"/>
    </row>
    <row r="143" spans="1:9" x14ac:dyDescent="0.2">
      <c r="A143" s="62"/>
      <c r="B143" s="30"/>
      <c r="C143" s="12"/>
      <c r="D143" s="30"/>
      <c r="E143" s="30"/>
      <c r="F143" s="61"/>
      <c r="G143" s="30"/>
      <c r="H143" s="30"/>
      <c r="I143" s="10"/>
    </row>
    <row r="144" spans="1:9" x14ac:dyDescent="0.2">
      <c r="A144" s="62"/>
      <c r="B144" s="30"/>
      <c r="C144" s="12"/>
      <c r="D144" s="30"/>
      <c r="E144" s="30"/>
      <c r="F144" s="61"/>
      <c r="G144" s="30"/>
      <c r="H144" s="30"/>
      <c r="I144" s="10"/>
    </row>
    <row r="145" spans="1:9" x14ac:dyDescent="0.2">
      <c r="A145" s="62"/>
      <c r="B145" s="30"/>
      <c r="C145" s="12"/>
      <c r="D145" s="30"/>
      <c r="E145" s="30"/>
      <c r="F145" s="61"/>
      <c r="G145" s="30"/>
      <c r="H145" s="30"/>
      <c r="I145" s="10"/>
    </row>
    <row r="146" spans="1:9" x14ac:dyDescent="0.2">
      <c r="A146" s="62"/>
      <c r="B146" s="30"/>
      <c r="C146" s="12"/>
      <c r="D146" s="30"/>
      <c r="E146" s="30"/>
      <c r="F146" s="61"/>
      <c r="G146" s="30"/>
      <c r="H146" s="30"/>
      <c r="I146" s="10"/>
    </row>
    <row r="147" spans="1:9" x14ac:dyDescent="0.2">
      <c r="A147" s="62"/>
      <c r="B147" s="30"/>
      <c r="C147" s="12"/>
      <c r="D147" s="30"/>
      <c r="E147" s="30"/>
      <c r="F147" s="61"/>
      <c r="G147" s="30"/>
      <c r="H147" s="30"/>
      <c r="I147" s="10"/>
    </row>
    <row r="148" spans="1:9" x14ac:dyDescent="0.2">
      <c r="A148" s="62"/>
      <c r="B148" s="30"/>
      <c r="C148" s="12"/>
      <c r="D148" s="30"/>
      <c r="E148" s="30"/>
      <c r="F148" s="61"/>
      <c r="G148" s="30"/>
      <c r="H148" s="30"/>
      <c r="I148" s="10"/>
    </row>
    <row r="149" spans="1:9" x14ac:dyDescent="0.2">
      <c r="A149" s="62"/>
      <c r="B149" s="30"/>
      <c r="C149" s="12"/>
      <c r="D149" s="30"/>
      <c r="E149" s="30"/>
      <c r="F149" s="61"/>
      <c r="G149" s="30"/>
      <c r="H149" s="30"/>
      <c r="I149" s="10"/>
    </row>
    <row r="150" spans="1:9" x14ac:dyDescent="0.2">
      <c r="A150" s="62"/>
      <c r="B150" s="30"/>
      <c r="C150" s="12"/>
      <c r="D150" s="30"/>
      <c r="E150" s="30"/>
      <c r="F150" s="61"/>
      <c r="G150" s="30"/>
      <c r="H150" s="30"/>
      <c r="I150" s="10"/>
    </row>
    <row r="151" spans="1:9" x14ac:dyDescent="0.2">
      <c r="A151" s="62"/>
      <c r="B151" s="30"/>
      <c r="C151" s="12"/>
      <c r="D151" s="30"/>
      <c r="E151" s="30"/>
      <c r="F151" s="61"/>
      <c r="G151" s="30"/>
      <c r="H151" s="30"/>
      <c r="I151" s="10"/>
    </row>
    <row r="152" spans="1:9" x14ac:dyDescent="0.2">
      <c r="A152" s="62"/>
      <c r="B152" s="30"/>
      <c r="C152" s="12"/>
      <c r="D152" s="30"/>
      <c r="E152" s="30"/>
      <c r="F152" s="61"/>
      <c r="G152" s="30"/>
      <c r="H152" s="30"/>
      <c r="I152" s="10"/>
    </row>
    <row r="153" spans="1:9" x14ac:dyDescent="0.2">
      <c r="A153" s="62"/>
      <c r="B153" s="30"/>
      <c r="C153" s="12"/>
      <c r="D153" s="30"/>
      <c r="E153" s="30"/>
      <c r="F153" s="61"/>
      <c r="G153" s="30"/>
      <c r="H153" s="30"/>
      <c r="I153" s="10"/>
    </row>
    <row r="154" spans="1:9" x14ac:dyDescent="0.2">
      <c r="A154" s="62"/>
      <c r="B154" s="30"/>
      <c r="C154" s="12"/>
      <c r="D154" s="30"/>
      <c r="E154" s="30"/>
      <c r="F154" s="61"/>
      <c r="G154" s="30"/>
      <c r="H154" s="30"/>
      <c r="I154" s="10"/>
    </row>
    <row r="155" spans="1:9" x14ac:dyDescent="0.2">
      <c r="A155" s="62"/>
      <c r="B155" s="30"/>
      <c r="C155" s="12"/>
      <c r="D155" s="30"/>
      <c r="E155" s="30"/>
      <c r="F155" s="61"/>
      <c r="G155" s="30"/>
      <c r="H155" s="30"/>
      <c r="I155" s="10"/>
    </row>
    <row r="156" spans="1:9" x14ac:dyDescent="0.2">
      <c r="A156" s="62"/>
      <c r="B156" s="30"/>
      <c r="C156" s="12"/>
      <c r="D156" s="30"/>
      <c r="E156" s="30"/>
      <c r="F156" s="61"/>
      <c r="G156" s="30"/>
      <c r="H156" s="30"/>
      <c r="I156" s="10"/>
    </row>
    <row r="157" spans="1:9" x14ac:dyDescent="0.2">
      <c r="A157" s="62"/>
      <c r="B157" s="30"/>
      <c r="C157" s="12"/>
      <c r="D157" s="30"/>
      <c r="E157" s="30"/>
      <c r="F157" s="61"/>
      <c r="G157" s="30"/>
      <c r="H157" s="30"/>
      <c r="I157" s="10"/>
    </row>
    <row r="158" spans="1:9" x14ac:dyDescent="0.2">
      <c r="A158" s="62"/>
      <c r="B158" s="30"/>
      <c r="C158" s="12"/>
      <c r="D158" s="30"/>
      <c r="E158" s="30"/>
      <c r="F158" s="61"/>
      <c r="G158" s="30"/>
      <c r="H158" s="30"/>
      <c r="I158" s="10"/>
    </row>
    <row r="159" spans="1:9" x14ac:dyDescent="0.2">
      <c r="A159" s="62"/>
      <c r="B159" s="30"/>
      <c r="C159" s="12"/>
      <c r="D159" s="30"/>
      <c r="E159" s="30"/>
      <c r="F159" s="61"/>
      <c r="G159" s="30"/>
      <c r="H159" s="30"/>
      <c r="I159" s="10"/>
    </row>
    <row r="160" spans="1:9" x14ac:dyDescent="0.2">
      <c r="A160" s="62"/>
      <c r="B160" s="30"/>
      <c r="C160" s="12"/>
      <c r="D160" s="30"/>
      <c r="E160" s="30"/>
      <c r="F160" s="61"/>
      <c r="G160" s="30"/>
      <c r="H160" s="12"/>
      <c r="I160" s="10"/>
    </row>
    <row r="161" spans="1:9" x14ac:dyDescent="0.2">
      <c r="A161" s="62"/>
      <c r="B161" s="30"/>
      <c r="C161" s="12"/>
      <c r="D161" s="30"/>
      <c r="E161" s="30"/>
      <c r="F161" s="61"/>
      <c r="G161" s="30"/>
      <c r="H161" s="12"/>
      <c r="I161" s="10"/>
    </row>
    <row r="162" spans="1:9" x14ac:dyDescent="0.2">
      <c r="A162" s="62"/>
      <c r="B162" s="30"/>
      <c r="C162" s="12"/>
      <c r="D162" s="30"/>
      <c r="E162" s="30"/>
      <c r="F162" s="61"/>
      <c r="G162" s="30"/>
      <c r="H162" s="12"/>
      <c r="I162" s="10"/>
    </row>
    <row r="163" spans="1:9" x14ac:dyDescent="0.2">
      <c r="A163" s="62"/>
      <c r="B163" s="30"/>
      <c r="C163" s="12"/>
      <c r="D163" s="30"/>
      <c r="E163" s="30"/>
      <c r="F163" s="61"/>
      <c r="G163" s="30"/>
      <c r="I163" s="10"/>
    </row>
    <row r="164" spans="1:9" x14ac:dyDescent="0.2">
      <c r="A164" s="62"/>
      <c r="B164" s="30"/>
      <c r="C164" s="12"/>
      <c r="D164" s="30"/>
      <c r="E164" s="30"/>
      <c r="F164" s="61"/>
      <c r="G164" s="30"/>
      <c r="I164" s="10"/>
    </row>
    <row r="165" spans="1:9" x14ac:dyDescent="0.2">
      <c r="A165" s="62"/>
      <c r="B165" s="30"/>
      <c r="C165" s="12"/>
      <c r="D165" s="30"/>
      <c r="E165" s="30"/>
      <c r="F165" s="61"/>
      <c r="G165" s="30"/>
      <c r="I165" s="10"/>
    </row>
    <row r="166" spans="1:9" x14ac:dyDescent="0.2">
      <c r="A166" s="62"/>
      <c r="B166" s="30"/>
      <c r="C166" s="12"/>
      <c r="D166" s="30"/>
      <c r="E166" s="30"/>
      <c r="F166" s="61"/>
      <c r="G166" s="30"/>
      <c r="I166" s="10"/>
    </row>
    <row r="167" spans="1:9" x14ac:dyDescent="0.2">
      <c r="A167" s="62"/>
      <c r="B167" s="30"/>
      <c r="C167" s="12"/>
      <c r="D167" s="30"/>
      <c r="E167" s="30"/>
      <c r="F167" s="61"/>
      <c r="G167" s="30"/>
      <c r="I167" s="10"/>
    </row>
    <row r="168" spans="1:9" x14ac:dyDescent="0.2">
      <c r="A168" s="62"/>
      <c r="B168" s="30"/>
      <c r="C168" s="12"/>
      <c r="D168" s="30"/>
      <c r="E168" s="30"/>
      <c r="F168" s="61"/>
      <c r="G168" s="30"/>
      <c r="I168" s="10"/>
    </row>
    <row r="169" spans="1:9" x14ac:dyDescent="0.2">
      <c r="A169" s="62"/>
      <c r="B169" s="30"/>
      <c r="C169" s="12"/>
      <c r="D169" s="30"/>
      <c r="E169" s="30"/>
      <c r="F169" s="61"/>
      <c r="G169" s="30"/>
      <c r="I169" s="10"/>
    </row>
    <row r="170" spans="1:9" x14ac:dyDescent="0.2">
      <c r="A170" s="62"/>
      <c r="B170" s="30"/>
      <c r="C170" s="12"/>
      <c r="D170" s="30"/>
      <c r="E170" s="30"/>
      <c r="F170" s="61"/>
      <c r="G170" s="30"/>
      <c r="I170" s="10"/>
    </row>
    <row r="171" spans="1:9" x14ac:dyDescent="0.2">
      <c r="A171" s="62"/>
      <c r="B171" s="30"/>
      <c r="C171" s="12"/>
      <c r="D171" s="30"/>
      <c r="E171" s="30"/>
      <c r="F171" s="61"/>
      <c r="G171" s="30"/>
      <c r="I171" s="10"/>
    </row>
    <row r="172" spans="1:9" x14ac:dyDescent="0.2">
      <c r="A172" s="62"/>
      <c r="B172" s="12"/>
      <c r="C172" s="12"/>
      <c r="D172" s="12"/>
      <c r="E172" s="12"/>
      <c r="F172" s="10"/>
      <c r="G172" s="30"/>
      <c r="I172" s="10"/>
    </row>
    <row r="173" spans="1:9" x14ac:dyDescent="0.2">
      <c r="A173" s="62"/>
      <c r="B173" s="12"/>
      <c r="C173" s="12"/>
      <c r="D173" s="12"/>
      <c r="E173" s="12"/>
      <c r="F173" s="12"/>
      <c r="G173" s="30"/>
      <c r="I173" s="10"/>
    </row>
    <row r="174" spans="1:9" x14ac:dyDescent="0.25">
      <c r="A174" s="62"/>
      <c r="B174" s="12"/>
      <c r="C174" s="12"/>
      <c r="D174" s="12"/>
      <c r="E174" s="12"/>
      <c r="F174" s="12"/>
      <c r="G174" s="12"/>
      <c r="I174" s="10"/>
    </row>
    <row r="175" spans="1:9" x14ac:dyDescent="0.25">
      <c r="A175" s="62"/>
      <c r="G175" s="12"/>
      <c r="I175" s="12"/>
    </row>
    <row r="176" spans="1:9" x14ac:dyDescent="0.25">
      <c r="G176" s="12"/>
      <c r="I176" s="12"/>
    </row>
  </sheetData>
  <autoFilter ref="A5:H29"/>
  <mergeCells count="16">
    <mergeCell ref="C22:D22"/>
    <mergeCell ref="A39:F39"/>
    <mergeCell ref="A23:A28"/>
    <mergeCell ref="A2:I2"/>
    <mergeCell ref="A14:A21"/>
    <mergeCell ref="B14:B21"/>
    <mergeCell ref="A7:A12"/>
    <mergeCell ref="B7:B12"/>
    <mergeCell ref="C13:D13"/>
    <mergeCell ref="I8:K8"/>
    <mergeCell ref="I21:K21"/>
    <mergeCell ref="I19:K19"/>
    <mergeCell ref="I7:L7"/>
    <mergeCell ref="B23:B28"/>
    <mergeCell ref="A31:K31"/>
    <mergeCell ref="C29:D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view="pageBreakPreview" zoomScaleNormal="118" zoomScaleSheetLayoutView="100" zoomScalePageLayoutView="85" workbookViewId="0">
      <selection activeCell="C16" sqref="C16"/>
    </sheetView>
  </sheetViews>
  <sheetFormatPr defaultColWidth="8.7109375" defaultRowHeight="12.75" x14ac:dyDescent="0.2"/>
  <cols>
    <col min="1" max="1" width="5.28515625" style="32" customWidth="1"/>
    <col min="2" max="2" width="61.42578125" style="32" customWidth="1"/>
    <col min="3" max="3" width="11.28515625" style="32" customWidth="1"/>
    <col min="4" max="4" width="16.28515625" style="32" customWidth="1"/>
    <col min="5" max="5" width="20" style="32" customWidth="1"/>
    <col min="6" max="6" width="19" style="31" customWidth="1"/>
    <col min="7" max="16384" width="8.7109375" style="31"/>
  </cols>
  <sheetData>
    <row r="1" spans="1:6" ht="80.25" customHeight="1" x14ac:dyDescent="0.2">
      <c r="A1" s="86" t="s">
        <v>7</v>
      </c>
      <c r="B1" s="87" t="s">
        <v>49</v>
      </c>
      <c r="C1" s="87" t="s">
        <v>3</v>
      </c>
      <c r="D1" s="87" t="s">
        <v>75</v>
      </c>
      <c r="E1" s="87" t="s">
        <v>4</v>
      </c>
      <c r="F1" s="114" t="s">
        <v>146</v>
      </c>
    </row>
    <row r="2" spans="1:6" x14ac:dyDescent="0.2">
      <c r="A2" s="88" t="s">
        <v>48</v>
      </c>
      <c r="B2" s="89" t="str">
        <f>'расчет оборудования'!B9:M9</f>
        <v>Уровень вычислительной инфраструктуры</v>
      </c>
      <c r="C2" s="90">
        <f>'расчет оборудования'!B10</f>
        <v>1</v>
      </c>
      <c r="D2" s="91">
        <f>'расчет оборудования'!N12</f>
        <v>11243549.289999999</v>
      </c>
      <c r="E2" s="92">
        <f t="shared" ref="E2:E13" si="0">D2*C2</f>
        <v>11243549.289999999</v>
      </c>
      <c r="F2" s="92">
        <v>9883713.0800000001</v>
      </c>
    </row>
    <row r="3" spans="1:6" x14ac:dyDescent="0.2">
      <c r="A3" s="88" t="s">
        <v>47</v>
      </c>
      <c r="B3" s="89" t="str">
        <f>'расчет оборудования'!B14:M14</f>
        <v>Уровень сетевой инфраструктуры</v>
      </c>
      <c r="C3" s="90">
        <f>'расчет оборудования'!B15</f>
        <v>1</v>
      </c>
      <c r="D3" s="91">
        <f>'расчет оборудования'!N17</f>
        <v>28648126.609999999</v>
      </c>
      <c r="E3" s="92">
        <f t="shared" si="0"/>
        <v>28648126.609999999</v>
      </c>
      <c r="F3" s="92">
        <v>20923333.18</v>
      </c>
    </row>
    <row r="4" spans="1:6" x14ac:dyDescent="0.2">
      <c r="A4" s="88" t="s">
        <v>46</v>
      </c>
      <c r="B4" s="93" t="str">
        <f>'расчет оборудования'!B19:M19</f>
        <v>Модуль (система) антивирусной защиты (САЗ)</v>
      </c>
      <c r="C4" s="90">
        <f>'расчет оборудования'!B20</f>
        <v>1</v>
      </c>
      <c r="D4" s="91">
        <f>'расчет оборудования'!N22</f>
        <v>1411484.54</v>
      </c>
      <c r="E4" s="92">
        <f t="shared" si="0"/>
        <v>1411484.54</v>
      </c>
      <c r="F4" s="92">
        <v>1411483.25</v>
      </c>
    </row>
    <row r="5" spans="1:6" x14ac:dyDescent="0.2">
      <c r="A5" s="88" t="s">
        <v>45</v>
      </c>
      <c r="B5" s="93" t="str">
        <f>'расчет оборудования'!B24:M24</f>
        <v>Модуль (система) защиты от несанкционированного доступа (СЗИ НСД)</v>
      </c>
      <c r="C5" s="90">
        <f>'расчет оборудования'!B25</f>
        <v>1</v>
      </c>
      <c r="D5" s="91">
        <f>'расчет оборудования'!N27</f>
        <v>2601712.66</v>
      </c>
      <c r="E5" s="92">
        <f t="shared" si="0"/>
        <v>2601712.66</v>
      </c>
      <c r="F5" s="92">
        <v>2601712.66</v>
      </c>
    </row>
    <row r="6" spans="1:6" ht="25.5" x14ac:dyDescent="0.2">
      <c r="A6" s="88" t="s">
        <v>44</v>
      </c>
      <c r="B6" s="93" t="str">
        <f>'расчет оборудования'!B29:M29</f>
        <v>Модуль (система) межсетевого экранирования и обнаружения вторжений (СМЭ)</v>
      </c>
      <c r="C6" s="90">
        <f>'расчет оборудования'!B30</f>
        <v>1</v>
      </c>
      <c r="D6" s="91">
        <f>'расчет оборудования'!N32</f>
        <v>145243237.88</v>
      </c>
      <c r="E6" s="92">
        <f t="shared" si="0"/>
        <v>145243237.88</v>
      </c>
      <c r="F6" s="92">
        <v>143169485.11000001</v>
      </c>
    </row>
    <row r="7" spans="1:6" ht="49.5" customHeight="1" x14ac:dyDescent="0.2">
      <c r="A7" s="88" t="s">
        <v>43</v>
      </c>
      <c r="B7" s="93" t="str">
        <f>'расчет оборудования'!B34:M34</f>
        <v xml:space="preserve">Модуль (система) криптографической защиты (СКЗИ)
</v>
      </c>
      <c r="C7" s="90">
        <f>'расчет оборудования'!B35</f>
        <v>1</v>
      </c>
      <c r="D7" s="91">
        <f>'расчет оборудования'!N37</f>
        <v>20274957.789999999</v>
      </c>
      <c r="E7" s="92">
        <f t="shared" si="0"/>
        <v>20274957.789999999</v>
      </c>
      <c r="F7" s="92">
        <v>17178501.23</v>
      </c>
    </row>
    <row r="8" spans="1:6" x14ac:dyDescent="0.2">
      <c r="A8" s="88" t="s">
        <v>42</v>
      </c>
      <c r="B8" s="93" t="str">
        <f>'расчет оборудования'!B39:M39</f>
        <v>Модуль (система) контроля (анализа) защищенности (СКАЗ)</v>
      </c>
      <c r="C8" s="90">
        <f>'расчет оборудования'!B40</f>
        <v>1</v>
      </c>
      <c r="D8" s="91">
        <f>'расчет оборудования'!N42</f>
        <v>1578000.06</v>
      </c>
      <c r="E8" s="92">
        <f t="shared" si="0"/>
        <v>1578000.06</v>
      </c>
      <c r="F8" s="92">
        <v>1574681.95</v>
      </c>
    </row>
    <row r="9" spans="1:6" ht="25.5" x14ac:dyDescent="0.2">
      <c r="A9" s="88" t="s">
        <v>41</v>
      </c>
      <c r="B9" s="93" t="str">
        <f>'расчет оборудования'!B44:M44</f>
        <v>Модуль (система) мониторинга событий информационной безопасности (СМСИБ)</v>
      </c>
      <c r="C9" s="90">
        <f>'расчет оборудования'!B45</f>
        <v>1</v>
      </c>
      <c r="D9" s="91">
        <f>'расчет оборудования'!N47</f>
        <v>25702126.670000002</v>
      </c>
      <c r="E9" s="92">
        <f t="shared" si="0"/>
        <v>25702126.670000002</v>
      </c>
      <c r="F9" s="92">
        <v>25702126.670000002</v>
      </c>
    </row>
    <row r="10" spans="1:6" x14ac:dyDescent="0.2">
      <c r="A10" s="88" t="s">
        <v>134</v>
      </c>
      <c r="B10" s="93" t="str">
        <f>'расчет оборудования'!B49:M49</f>
        <v>Модуль (система) контроля привилегированных пользователей (СКПП)</v>
      </c>
      <c r="C10" s="90">
        <f>'расчет оборудования'!B50</f>
        <v>1</v>
      </c>
      <c r="D10" s="91">
        <f>'расчет оборудования'!N52</f>
        <v>9507666.6699999999</v>
      </c>
      <c r="E10" s="92">
        <f t="shared" si="0"/>
        <v>9507666.6699999999</v>
      </c>
      <c r="F10" s="92">
        <v>9507666.6699999999</v>
      </c>
    </row>
    <row r="11" spans="1:6" x14ac:dyDescent="0.2">
      <c r="A11" s="88" t="s">
        <v>135</v>
      </c>
      <c r="B11" s="93" t="str">
        <f>'расчет оборудования'!B54:M54</f>
        <v>Модуль (средство) доверенной загрузки (СДЗ)</v>
      </c>
      <c r="C11" s="90">
        <f>'расчет оборудования'!B55</f>
        <v>1</v>
      </c>
      <c r="D11" s="91">
        <f>'расчет оборудования'!N57</f>
        <v>97188.88</v>
      </c>
      <c r="E11" s="92">
        <f t="shared" si="0"/>
        <v>97188.88</v>
      </c>
      <c r="F11" s="92">
        <v>94394.880000000005</v>
      </c>
    </row>
    <row r="12" spans="1:6" x14ac:dyDescent="0.2">
      <c r="A12" s="88" t="s">
        <v>136</v>
      </c>
      <c r="B12" s="93" t="str">
        <f>'расчет оборудования'!B59:M59</f>
        <v>Модуль (система) резервного копирования (СРК)</v>
      </c>
      <c r="C12" s="90">
        <f>'расчет оборудования'!B60</f>
        <v>1</v>
      </c>
      <c r="D12" s="91">
        <f>'расчет оборудования'!N62</f>
        <v>1117615.27</v>
      </c>
      <c r="E12" s="92">
        <f t="shared" si="0"/>
        <v>1117615.27</v>
      </c>
      <c r="F12" s="92">
        <v>1117615.27</v>
      </c>
    </row>
    <row r="13" spans="1:6" x14ac:dyDescent="0.2">
      <c r="A13" s="88" t="s">
        <v>137</v>
      </c>
      <c r="B13" s="93" t="str">
        <f>'расчет оборудования'!B64:M64</f>
        <v>Модуль (система) защиты среды виртуализации (СЗСВ)</v>
      </c>
      <c r="C13" s="90">
        <f>'расчет оборудования'!B65</f>
        <v>1</v>
      </c>
      <c r="D13" s="91">
        <f>'расчет оборудования'!N67</f>
        <v>769685.97</v>
      </c>
      <c r="E13" s="92">
        <f t="shared" si="0"/>
        <v>769685.97</v>
      </c>
      <c r="F13" s="92">
        <v>739088.96</v>
      </c>
    </row>
    <row r="14" spans="1:6" x14ac:dyDescent="0.2">
      <c r="A14" s="94"/>
      <c r="B14" s="95" t="s">
        <v>40</v>
      </c>
      <c r="C14" s="96"/>
      <c r="D14" s="95"/>
      <c r="E14" s="97">
        <f>SUM(E2:E13)</f>
        <v>248195352.28999999</v>
      </c>
      <c r="F14" s="115">
        <f>F2+F3+F4+F5+F6+F7+F8+F9+F10+F11+F12+F13</f>
        <v>233903802.91</v>
      </c>
    </row>
    <row r="15" spans="1:6" x14ac:dyDescent="0.2">
      <c r="A15" s="94"/>
      <c r="B15" s="98"/>
      <c r="C15" s="96"/>
      <c r="D15" s="98"/>
      <c r="E15" s="99"/>
      <c r="F15" s="92"/>
    </row>
    <row r="16" spans="1:6" x14ac:dyDescent="0.2">
      <c r="A16" s="85"/>
      <c r="B16" s="85"/>
      <c r="C16" s="85"/>
      <c r="D16" s="85"/>
      <c r="E16" s="85"/>
    </row>
    <row r="17" spans="1:5" x14ac:dyDescent="0.2">
      <c r="A17" s="85"/>
      <c r="B17" s="85"/>
      <c r="C17" s="85"/>
      <c r="D17" s="85"/>
      <c r="E17" s="85"/>
    </row>
  </sheetData>
  <pageMargins left="0.25" right="0.25" top="0.75" bottom="0.75" header="0.3" footer="0.3"/>
  <pageSetup paperSize="9" scale="94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zoomScale="80" zoomScaleNormal="80" zoomScaleSheetLayoutView="100" workbookViewId="0">
      <selection activeCell="P2" sqref="P2"/>
    </sheetView>
  </sheetViews>
  <sheetFormatPr defaultColWidth="11.42578125" defaultRowHeight="15" x14ac:dyDescent="0.25"/>
  <cols>
    <col min="1" max="1" width="21.28515625" style="35" customWidth="1"/>
    <col min="2" max="2" width="14.42578125" style="35" customWidth="1"/>
    <col min="3" max="3" width="14.28515625" style="35" customWidth="1"/>
    <col min="4" max="4" width="15" style="35" customWidth="1"/>
    <col min="5" max="5" width="15.85546875" style="35" customWidth="1"/>
    <col min="6" max="6" width="14.42578125" style="35" customWidth="1"/>
    <col min="7" max="7" width="15.7109375" style="35" customWidth="1"/>
    <col min="8" max="8" width="15.28515625" style="35" customWidth="1"/>
    <col min="9" max="9" width="15.7109375" style="35" customWidth="1"/>
    <col min="10" max="10" width="15.5703125" style="35" customWidth="1"/>
    <col min="11" max="11" width="15.28515625" style="35" customWidth="1"/>
    <col min="12" max="12" width="14.7109375" style="35" customWidth="1"/>
    <col min="13" max="13" width="15.7109375" style="35" customWidth="1"/>
    <col min="14" max="14" width="16.28515625" style="35" customWidth="1"/>
    <col min="15" max="15" width="16.28515625" style="33" customWidth="1"/>
    <col min="16" max="16" width="12.42578125" style="33" bestFit="1" customWidth="1"/>
    <col min="17" max="20" width="11.42578125" style="34"/>
    <col min="21" max="21" width="2.140625" style="34" customWidth="1"/>
    <col min="22" max="23" width="11.42578125" style="34"/>
    <col min="24" max="24" width="14" style="34" bestFit="1" customWidth="1"/>
    <col min="25" max="16384" width="11.42578125" style="33"/>
  </cols>
  <sheetData>
    <row r="1" spans="1:24" ht="4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24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4" ht="15.75" x14ac:dyDescent="0.25">
      <c r="A3" s="155" t="s">
        <v>61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24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8"/>
    </row>
    <row r="5" spans="1:24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70" t="s">
        <v>50</v>
      </c>
    </row>
    <row r="6" spans="1:24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9"/>
      <c r="O6" s="68"/>
    </row>
    <row r="7" spans="1:24" ht="33" customHeight="1" x14ac:dyDescent="0.25">
      <c r="A7" s="151" t="s">
        <v>60</v>
      </c>
      <c r="B7" s="147" t="s">
        <v>59</v>
      </c>
      <c r="C7" s="148"/>
      <c r="D7" s="149"/>
      <c r="E7" s="71" t="s">
        <v>58</v>
      </c>
      <c r="F7" s="147" t="s">
        <v>59</v>
      </c>
      <c r="G7" s="148"/>
      <c r="H7" s="149"/>
      <c r="I7" s="71" t="s">
        <v>58</v>
      </c>
      <c r="J7" s="147" t="s">
        <v>59</v>
      </c>
      <c r="K7" s="148"/>
      <c r="L7" s="149"/>
      <c r="M7" s="71" t="s">
        <v>58</v>
      </c>
      <c r="N7" s="151" t="s">
        <v>57</v>
      </c>
      <c r="O7" s="151" t="s">
        <v>145</v>
      </c>
      <c r="P7" s="151" t="s">
        <v>56</v>
      </c>
    </row>
    <row r="8" spans="1:24" ht="111" customHeight="1" x14ac:dyDescent="0.25">
      <c r="A8" s="152"/>
      <c r="B8" s="72" t="s">
        <v>63</v>
      </c>
      <c r="C8" s="72" t="s">
        <v>64</v>
      </c>
      <c r="D8" s="72" t="s">
        <v>65</v>
      </c>
      <c r="E8" s="73"/>
      <c r="F8" s="72" t="s">
        <v>63</v>
      </c>
      <c r="G8" s="72" t="s">
        <v>64</v>
      </c>
      <c r="H8" s="72" t="s">
        <v>65</v>
      </c>
      <c r="I8" s="73"/>
      <c r="J8" s="72" t="s">
        <v>63</v>
      </c>
      <c r="K8" s="72" t="s">
        <v>64</v>
      </c>
      <c r="L8" s="72" t="s">
        <v>65</v>
      </c>
      <c r="M8" s="73"/>
      <c r="N8" s="152"/>
      <c r="O8" s="152"/>
      <c r="P8" s="152"/>
    </row>
    <row r="9" spans="1:24" ht="43.5" customHeight="1" x14ac:dyDescent="0.25">
      <c r="A9" s="74" t="s">
        <v>2</v>
      </c>
      <c r="B9" s="141" t="s">
        <v>91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73"/>
      <c r="O9" s="73"/>
      <c r="P9" s="73"/>
    </row>
    <row r="10" spans="1:24" ht="30" customHeight="1" x14ac:dyDescent="0.25">
      <c r="A10" s="74" t="s">
        <v>55</v>
      </c>
      <c r="B10" s="150">
        <v>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73"/>
      <c r="O10" s="73"/>
      <c r="P10" s="73"/>
    </row>
    <row r="11" spans="1:24" ht="29.25" customHeight="1" x14ac:dyDescent="0.25">
      <c r="A11" s="74" t="s">
        <v>54</v>
      </c>
      <c r="B11" s="145" t="s">
        <v>103</v>
      </c>
      <c r="C11" s="145"/>
      <c r="D11" s="145"/>
      <c r="E11" s="145"/>
      <c r="F11" s="145" t="s">
        <v>104</v>
      </c>
      <c r="G11" s="145"/>
      <c r="H11" s="145"/>
      <c r="I11" s="145"/>
      <c r="J11" s="145" t="s">
        <v>105</v>
      </c>
      <c r="K11" s="145"/>
      <c r="L11" s="145"/>
      <c r="M11" s="145"/>
      <c r="N11" s="73"/>
      <c r="O11" s="73"/>
      <c r="P11" s="73"/>
    </row>
    <row r="12" spans="1:24" x14ac:dyDescent="0.25">
      <c r="A12" s="74" t="s">
        <v>53</v>
      </c>
      <c r="B12" s="75">
        <v>9854752</v>
      </c>
      <c r="C12" s="75">
        <v>10697820.800000001</v>
      </c>
      <c r="D12" s="76">
        <v>10611361.289999999</v>
      </c>
      <c r="E12" s="77">
        <f>ROUND(AVERAGE(B12:D12),2)</f>
        <v>10387978.029999999</v>
      </c>
      <c r="F12" s="75">
        <v>11816715</v>
      </c>
      <c r="G12" s="75">
        <v>11687506.9</v>
      </c>
      <c r="H12" s="76">
        <v>11337629.58</v>
      </c>
      <c r="I12" s="77">
        <f>ROUND(AVERAGE(F12:H12),2)</f>
        <v>11613950.49</v>
      </c>
      <c r="J12" s="75">
        <v>11841042</v>
      </c>
      <c r="K12" s="76">
        <v>11644676.109999999</v>
      </c>
      <c r="L12" s="76">
        <v>11700439.949999999</v>
      </c>
      <c r="M12" s="77">
        <f>ROUND(AVERAGE(J12:L12),2)</f>
        <v>11728719.35</v>
      </c>
      <c r="N12" s="78">
        <f>ROUND((E12+I12+M12)/3,2)</f>
        <v>11243549.289999999</v>
      </c>
      <c r="O12" s="112">
        <v>9883713.0800000001</v>
      </c>
      <c r="P12" s="79" t="s">
        <v>52</v>
      </c>
      <c r="Q12" s="80"/>
      <c r="R12" s="80"/>
      <c r="S12" s="80"/>
      <c r="T12" s="80"/>
      <c r="V12" s="80"/>
      <c r="W12" s="80"/>
      <c r="X12" s="81"/>
    </row>
    <row r="13" spans="1:24" x14ac:dyDescent="0.25">
      <c r="A13" s="74" t="s">
        <v>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10">
        <f>N12*B10</f>
        <v>11243549.289999999</v>
      </c>
      <c r="O13" s="112">
        <f>O12*B10</f>
        <v>9883713.0800000001</v>
      </c>
      <c r="P13" s="111"/>
      <c r="T13" s="80"/>
      <c r="V13" s="80"/>
    </row>
    <row r="14" spans="1:24" ht="45" customHeight="1" x14ac:dyDescent="0.25">
      <c r="A14" s="74" t="s">
        <v>2</v>
      </c>
      <c r="B14" s="141" t="s">
        <v>92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73"/>
      <c r="O14" s="113"/>
      <c r="P14" s="73"/>
    </row>
    <row r="15" spans="1:24" ht="31.5" customHeight="1" x14ac:dyDescent="0.25">
      <c r="A15" s="74" t="s">
        <v>55</v>
      </c>
      <c r="B15" s="150">
        <v>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73"/>
      <c r="O15" s="73"/>
      <c r="P15" s="73"/>
    </row>
    <row r="16" spans="1:24" ht="27.75" customHeight="1" x14ac:dyDescent="0.25">
      <c r="A16" s="74" t="s">
        <v>54</v>
      </c>
      <c r="B16" s="145" t="s">
        <v>110</v>
      </c>
      <c r="C16" s="145"/>
      <c r="D16" s="145"/>
      <c r="E16" s="145"/>
      <c r="F16" s="145" t="s">
        <v>108</v>
      </c>
      <c r="G16" s="145"/>
      <c r="H16" s="145"/>
      <c r="I16" s="145"/>
      <c r="J16" s="145" t="s">
        <v>106</v>
      </c>
      <c r="K16" s="145"/>
      <c r="L16" s="145"/>
      <c r="M16" s="145"/>
      <c r="N16" s="73"/>
      <c r="O16" s="73"/>
      <c r="P16" s="73"/>
    </row>
    <row r="17" spans="1:24" x14ac:dyDescent="0.25">
      <c r="A17" s="74" t="s">
        <v>53</v>
      </c>
      <c r="B17" s="75">
        <v>26072360</v>
      </c>
      <c r="C17" s="75">
        <v>27577325.600000001</v>
      </c>
      <c r="D17" s="76">
        <v>28659804</v>
      </c>
      <c r="E17" s="77">
        <f>ROUND(AVERAGE(B17:D17),2)</f>
        <v>27436496.530000001</v>
      </c>
      <c r="F17" s="75">
        <v>31053620</v>
      </c>
      <c r="G17" s="75">
        <v>29235475.199999999</v>
      </c>
      <c r="H17" s="76">
        <v>30122011.399999999</v>
      </c>
      <c r="I17" s="77">
        <f>ROUND(AVERAGE(F17:H17),2)</f>
        <v>30137035.530000001</v>
      </c>
      <c r="J17" s="75">
        <v>26527280.030000001</v>
      </c>
      <c r="K17" s="76">
        <v>28874709.629999999</v>
      </c>
      <c r="L17" s="76">
        <v>29710553.640000001</v>
      </c>
      <c r="M17" s="77">
        <f>ROUND(AVERAGE(J17:L17),2)</f>
        <v>28370847.77</v>
      </c>
      <c r="N17" s="78">
        <f>ROUND((E17+I17+M17)/3,2)</f>
        <v>28648126.609999999</v>
      </c>
      <c r="O17" s="112">
        <v>20923333.18</v>
      </c>
      <c r="P17" s="79" t="s">
        <v>52</v>
      </c>
      <c r="Q17" s="80"/>
      <c r="R17" s="80"/>
      <c r="S17" s="80"/>
      <c r="T17" s="80"/>
      <c r="V17" s="80"/>
      <c r="W17" s="80"/>
      <c r="X17" s="81"/>
    </row>
    <row r="18" spans="1:24" x14ac:dyDescent="0.25">
      <c r="A18" s="74" t="s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110">
        <f>N17*B15</f>
        <v>28648126.609999999</v>
      </c>
      <c r="O18" s="112">
        <f>O17*B15</f>
        <v>20923333.18</v>
      </c>
      <c r="P18" s="111"/>
      <c r="T18" s="80"/>
      <c r="V18" s="80"/>
    </row>
    <row r="19" spans="1:24" ht="40.5" customHeight="1" x14ac:dyDescent="0.25">
      <c r="A19" s="74" t="s">
        <v>2</v>
      </c>
      <c r="B19" s="141" t="s">
        <v>93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73"/>
      <c r="O19" s="113"/>
      <c r="P19" s="73"/>
    </row>
    <row r="20" spans="1:24" ht="30" customHeight="1" x14ac:dyDescent="0.25">
      <c r="A20" s="74" t="s">
        <v>55</v>
      </c>
      <c r="B20" s="150">
        <v>1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73"/>
      <c r="O20" s="73"/>
      <c r="P20" s="73"/>
    </row>
    <row r="21" spans="1:24" ht="29.25" customHeight="1" x14ac:dyDescent="0.25">
      <c r="A21" s="74" t="s">
        <v>54</v>
      </c>
      <c r="B21" s="145" t="s">
        <v>111</v>
      </c>
      <c r="C21" s="145"/>
      <c r="D21" s="145"/>
      <c r="E21" s="145"/>
      <c r="F21" s="145" t="s">
        <v>109</v>
      </c>
      <c r="G21" s="145"/>
      <c r="H21" s="145"/>
      <c r="I21" s="145"/>
      <c r="J21" s="145" t="s">
        <v>107</v>
      </c>
      <c r="K21" s="145"/>
      <c r="L21" s="145"/>
      <c r="M21" s="145"/>
      <c r="N21" s="73"/>
      <c r="O21" s="73"/>
      <c r="P21" s="73"/>
    </row>
    <row r="22" spans="1:24" x14ac:dyDescent="0.25">
      <c r="A22" s="74" t="s">
        <v>53</v>
      </c>
      <c r="B22" s="75">
        <v>1564291.11</v>
      </c>
      <c r="C22" s="75">
        <v>1584198.92</v>
      </c>
      <c r="D22" s="76">
        <v>1478956.01</v>
      </c>
      <c r="E22" s="77">
        <f>ROUND(AVERAGE(B22:D22),2)</f>
        <v>1542482.01</v>
      </c>
      <c r="F22" s="75">
        <v>1296000</v>
      </c>
      <c r="G22" s="75">
        <v>1287900</v>
      </c>
      <c r="H22" s="76">
        <v>1252260</v>
      </c>
      <c r="I22" s="77">
        <f>ROUND(AVERAGE(F22:H22),2)</f>
        <v>1278720</v>
      </c>
      <c r="J22" s="75">
        <v>1434503.52</v>
      </c>
      <c r="K22" s="76">
        <v>1391999.71</v>
      </c>
      <c r="L22" s="76">
        <v>1413251.62</v>
      </c>
      <c r="M22" s="77">
        <f>ROUND(AVERAGE(J22:L22),2)</f>
        <v>1413251.62</v>
      </c>
      <c r="N22" s="78">
        <f>ROUND((E22+I22+M22)/3,2)</f>
        <v>1411484.54</v>
      </c>
      <c r="O22" s="112">
        <v>1411483.25</v>
      </c>
      <c r="P22" s="79" t="s">
        <v>52</v>
      </c>
      <c r="Q22" s="80"/>
      <c r="R22" s="80"/>
      <c r="S22" s="80"/>
      <c r="T22" s="80"/>
      <c r="V22" s="80"/>
      <c r="W22" s="80"/>
      <c r="X22" s="81"/>
    </row>
    <row r="23" spans="1:24" x14ac:dyDescent="0.25">
      <c r="A23" s="74" t="s">
        <v>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10">
        <f>N22*B20</f>
        <v>1411484.54</v>
      </c>
      <c r="O23" s="112">
        <f>O22*B20</f>
        <v>1411483.25</v>
      </c>
      <c r="P23" s="111"/>
      <c r="T23" s="80"/>
      <c r="V23" s="80"/>
    </row>
    <row r="24" spans="1:24" ht="44.25" customHeight="1" x14ac:dyDescent="0.25">
      <c r="A24" s="74" t="s">
        <v>2</v>
      </c>
      <c r="B24" s="141" t="s">
        <v>94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73"/>
      <c r="O24" s="113"/>
      <c r="P24" s="73"/>
    </row>
    <row r="25" spans="1:24" ht="27.75" customHeight="1" x14ac:dyDescent="0.25">
      <c r="A25" s="74" t="s">
        <v>55</v>
      </c>
      <c r="B25" s="142">
        <v>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4"/>
      <c r="N25" s="73"/>
      <c r="O25" s="73"/>
      <c r="P25" s="73"/>
    </row>
    <row r="26" spans="1:24" ht="28.5" customHeight="1" x14ac:dyDescent="0.25">
      <c r="A26" s="74" t="s">
        <v>54</v>
      </c>
      <c r="B26" s="145" t="s">
        <v>112</v>
      </c>
      <c r="C26" s="145"/>
      <c r="D26" s="145"/>
      <c r="E26" s="145"/>
      <c r="F26" s="145" t="s">
        <v>114</v>
      </c>
      <c r="G26" s="145"/>
      <c r="H26" s="145"/>
      <c r="I26" s="145"/>
      <c r="J26" s="145" t="s">
        <v>117</v>
      </c>
      <c r="K26" s="145"/>
      <c r="L26" s="145"/>
      <c r="M26" s="145"/>
      <c r="N26" s="73"/>
      <c r="O26" s="73"/>
      <c r="P26" s="73"/>
    </row>
    <row r="27" spans="1:24" x14ac:dyDescent="0.25">
      <c r="A27" s="74" t="s">
        <v>53</v>
      </c>
      <c r="B27" s="75">
        <v>2657450</v>
      </c>
      <c r="C27" s="75">
        <v>2578162.5</v>
      </c>
      <c r="D27" s="76">
        <v>2546447.5</v>
      </c>
      <c r="E27" s="77">
        <f>ROUND(AVERAGE(B27:D27),2)</f>
        <v>2594020</v>
      </c>
      <c r="F27" s="75">
        <v>2346975</v>
      </c>
      <c r="G27" s="75">
        <v>2367690.75</v>
      </c>
      <c r="H27" s="76">
        <v>2310930</v>
      </c>
      <c r="I27" s="77">
        <f>ROUND(AVERAGE(F27:H27),2)</f>
        <v>2341865.25</v>
      </c>
      <c r="J27" s="75">
        <v>2902911</v>
      </c>
      <c r="K27" s="76">
        <v>2859706.56</v>
      </c>
      <c r="L27" s="76">
        <v>2845140.6</v>
      </c>
      <c r="M27" s="77">
        <f>ROUND(AVERAGE(J27:L27),2)</f>
        <v>2869252.72</v>
      </c>
      <c r="N27" s="78">
        <f>ROUND((E27+I27+M27)/3,2)</f>
        <v>2601712.66</v>
      </c>
      <c r="O27" s="112">
        <v>2601712.66</v>
      </c>
      <c r="P27" s="79" t="s">
        <v>52</v>
      </c>
      <c r="Q27" s="80"/>
      <c r="R27" s="80"/>
      <c r="S27" s="80"/>
      <c r="T27" s="80"/>
      <c r="V27" s="80"/>
      <c r="W27" s="80"/>
      <c r="X27" s="81"/>
    </row>
    <row r="28" spans="1:24" x14ac:dyDescent="0.25">
      <c r="A28" s="74" t="s">
        <v>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10">
        <f>N27*B25</f>
        <v>2601712.66</v>
      </c>
      <c r="O28" s="112">
        <f>O27*B25</f>
        <v>2601712.66</v>
      </c>
      <c r="P28" s="111"/>
      <c r="T28" s="80"/>
      <c r="V28" s="80"/>
    </row>
    <row r="29" spans="1:24" ht="46.5" customHeight="1" x14ac:dyDescent="0.25">
      <c r="A29" s="74" t="s">
        <v>2</v>
      </c>
      <c r="B29" s="141" t="s">
        <v>95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73"/>
      <c r="O29" s="113"/>
      <c r="P29" s="73"/>
    </row>
    <row r="30" spans="1:24" ht="31.5" customHeight="1" x14ac:dyDescent="0.25">
      <c r="A30" s="74" t="s">
        <v>55</v>
      </c>
      <c r="B30" s="142">
        <v>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4"/>
      <c r="N30" s="73"/>
      <c r="O30" s="73"/>
      <c r="P30" s="73"/>
    </row>
    <row r="31" spans="1:24" ht="27.75" customHeight="1" x14ac:dyDescent="0.25">
      <c r="A31" s="74" t="s">
        <v>54</v>
      </c>
      <c r="B31" s="145" t="s">
        <v>113</v>
      </c>
      <c r="C31" s="145"/>
      <c r="D31" s="145"/>
      <c r="E31" s="145"/>
      <c r="F31" s="145" t="s">
        <v>115</v>
      </c>
      <c r="G31" s="145"/>
      <c r="H31" s="145"/>
      <c r="I31" s="145"/>
      <c r="J31" s="145" t="s">
        <v>116</v>
      </c>
      <c r="K31" s="145"/>
      <c r="L31" s="145"/>
      <c r="M31" s="145"/>
      <c r="N31" s="73"/>
      <c r="O31" s="73"/>
      <c r="P31" s="73"/>
    </row>
    <row r="32" spans="1:24" x14ac:dyDescent="0.25">
      <c r="A32" s="74" t="s">
        <v>53</v>
      </c>
      <c r="B32" s="75">
        <v>148902556.66</v>
      </c>
      <c r="C32" s="75">
        <v>144269069.52000001</v>
      </c>
      <c r="D32" s="76">
        <v>151682648.94</v>
      </c>
      <c r="E32" s="77">
        <f>ROUND(AVERAGE(B32:D32),2)</f>
        <v>148284758.37</v>
      </c>
      <c r="F32" s="75">
        <v>147369713.46000001</v>
      </c>
      <c r="G32" s="75">
        <v>150861682.91</v>
      </c>
      <c r="H32" s="76">
        <v>149469869.43000001</v>
      </c>
      <c r="I32" s="77">
        <f>ROUND(AVERAGE(F32:H32),2)</f>
        <v>149233755.27000001</v>
      </c>
      <c r="J32" s="75">
        <v>135280000</v>
      </c>
      <c r="K32" s="76">
        <v>139780000</v>
      </c>
      <c r="L32" s="76">
        <v>139573600</v>
      </c>
      <c r="M32" s="77">
        <f>ROUND(AVERAGE(J32:L32),2)</f>
        <v>138211200</v>
      </c>
      <c r="N32" s="78">
        <f>ROUND((E32+I32+M32)/3,2)</f>
        <v>145243237.88</v>
      </c>
      <c r="O32" s="112">
        <v>143169485.11000001</v>
      </c>
      <c r="P32" s="79" t="s">
        <v>52</v>
      </c>
      <c r="Q32" s="80"/>
      <c r="R32" s="80"/>
      <c r="S32" s="80"/>
      <c r="T32" s="80"/>
      <c r="V32" s="80"/>
      <c r="W32" s="80"/>
      <c r="X32" s="81"/>
    </row>
    <row r="33" spans="1:24" x14ac:dyDescent="0.25">
      <c r="A33" s="74" t="s">
        <v>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110">
        <f>N32*B30</f>
        <v>145243237.88</v>
      </c>
      <c r="O33" s="112">
        <f>O32*B30</f>
        <v>143169485.11000001</v>
      </c>
      <c r="P33" s="111"/>
      <c r="T33" s="80"/>
      <c r="V33" s="80"/>
    </row>
    <row r="34" spans="1:24" ht="37.5" customHeight="1" x14ac:dyDescent="0.25">
      <c r="A34" s="74" t="s">
        <v>2</v>
      </c>
      <c r="B34" s="141" t="s">
        <v>96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73"/>
      <c r="O34" s="113"/>
      <c r="P34" s="73"/>
    </row>
    <row r="35" spans="1:24" ht="29.25" customHeight="1" x14ac:dyDescent="0.25">
      <c r="A35" s="74" t="s">
        <v>55</v>
      </c>
      <c r="B35" s="142">
        <v>1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4"/>
      <c r="N35" s="73"/>
      <c r="O35" s="73"/>
      <c r="P35" s="73"/>
    </row>
    <row r="36" spans="1:24" ht="27" customHeight="1" x14ac:dyDescent="0.25">
      <c r="A36" s="74" t="s">
        <v>54</v>
      </c>
      <c r="B36" s="145" t="s">
        <v>66</v>
      </c>
      <c r="C36" s="145"/>
      <c r="D36" s="145"/>
      <c r="E36" s="145"/>
      <c r="F36" s="145" t="s">
        <v>62</v>
      </c>
      <c r="G36" s="145"/>
      <c r="H36" s="145"/>
      <c r="I36" s="145"/>
      <c r="J36" s="145" t="s">
        <v>67</v>
      </c>
      <c r="K36" s="145"/>
      <c r="L36" s="145"/>
      <c r="M36" s="145"/>
      <c r="N36" s="73"/>
      <c r="O36" s="73"/>
      <c r="P36" s="73"/>
    </row>
    <row r="37" spans="1:24" x14ac:dyDescent="0.25">
      <c r="A37" s="74" t="s">
        <v>53</v>
      </c>
      <c r="B37" s="75">
        <v>22156730</v>
      </c>
      <c r="C37" s="75">
        <v>21410384</v>
      </c>
      <c r="D37" s="76">
        <v>21664989.800000001</v>
      </c>
      <c r="E37" s="77">
        <f>ROUND(AVERAGE(B37:D37),2)</f>
        <v>21744034.600000001</v>
      </c>
      <c r="F37" s="75">
        <v>18165468</v>
      </c>
      <c r="G37" s="75">
        <v>17982255.52</v>
      </c>
      <c r="H37" s="76">
        <v>17707436.800000001</v>
      </c>
      <c r="I37" s="77">
        <f>ROUND(AVERAGE(F37:H37),2)</f>
        <v>17951720.109999999</v>
      </c>
      <c r="J37" s="75">
        <v>21362000</v>
      </c>
      <c r="K37" s="76">
        <v>20984113.600000001</v>
      </c>
      <c r="L37" s="76">
        <v>21041242.399999999</v>
      </c>
      <c r="M37" s="77">
        <f>ROUND(AVERAGE(J37:L37),2)</f>
        <v>21129118.670000002</v>
      </c>
      <c r="N37" s="78">
        <f>ROUND((E37+I37+M37)/3,2)</f>
        <v>20274957.789999999</v>
      </c>
      <c r="O37" s="112">
        <v>17178501.23</v>
      </c>
      <c r="P37" s="79" t="s">
        <v>52</v>
      </c>
      <c r="Q37" s="80"/>
      <c r="R37" s="80"/>
      <c r="S37" s="80"/>
      <c r="T37" s="80"/>
      <c r="V37" s="80"/>
      <c r="W37" s="80"/>
      <c r="X37" s="81"/>
    </row>
    <row r="38" spans="1:24" x14ac:dyDescent="0.25">
      <c r="A38" s="74" t="s">
        <v>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110">
        <f>N37*B35</f>
        <v>20274957.789999999</v>
      </c>
      <c r="O38" s="112">
        <f>O37*B35</f>
        <v>17178501.23</v>
      </c>
      <c r="P38" s="111"/>
      <c r="T38" s="80"/>
      <c r="V38" s="80"/>
    </row>
    <row r="39" spans="1:24" ht="43.5" customHeight="1" x14ac:dyDescent="0.25">
      <c r="A39" s="74" t="s">
        <v>2</v>
      </c>
      <c r="B39" s="146" t="s">
        <v>97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73"/>
      <c r="O39" s="113"/>
      <c r="P39" s="73"/>
    </row>
    <row r="40" spans="1:24" ht="31.5" customHeight="1" x14ac:dyDescent="0.25">
      <c r="A40" s="74" t="s">
        <v>55</v>
      </c>
      <c r="B40" s="142">
        <v>1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  <c r="N40" s="73"/>
      <c r="O40" s="73"/>
      <c r="P40" s="73"/>
    </row>
    <row r="41" spans="1:24" ht="30" customHeight="1" x14ac:dyDescent="0.25">
      <c r="A41" s="74" t="s">
        <v>54</v>
      </c>
      <c r="B41" s="145" t="s">
        <v>122</v>
      </c>
      <c r="C41" s="145"/>
      <c r="D41" s="145"/>
      <c r="E41" s="145"/>
      <c r="F41" s="145" t="s">
        <v>118</v>
      </c>
      <c r="G41" s="145"/>
      <c r="H41" s="145"/>
      <c r="I41" s="145"/>
      <c r="J41" s="145" t="s">
        <v>111</v>
      </c>
      <c r="K41" s="145"/>
      <c r="L41" s="145"/>
      <c r="M41" s="145"/>
      <c r="N41" s="73"/>
      <c r="O41" s="73"/>
      <c r="P41" s="73"/>
    </row>
    <row r="42" spans="1:24" x14ac:dyDescent="0.25">
      <c r="A42" s="74" t="s">
        <v>53</v>
      </c>
      <c r="B42" s="75">
        <v>1473500</v>
      </c>
      <c r="C42" s="75">
        <v>1426250</v>
      </c>
      <c r="D42" s="76">
        <v>1445150</v>
      </c>
      <c r="E42" s="77">
        <f>ROUND(AVERAGE(B42:D42),2)</f>
        <v>1448300</v>
      </c>
      <c r="F42" s="75">
        <v>1533000</v>
      </c>
      <c r="G42" s="75">
        <v>1511100</v>
      </c>
      <c r="H42" s="76">
        <v>1467300</v>
      </c>
      <c r="I42" s="77">
        <f>ROUND(AVERAGE(F42:H42),2)</f>
        <v>1503800</v>
      </c>
      <c r="J42" s="75">
        <v>1833300</v>
      </c>
      <c r="K42" s="76">
        <v>1738408</v>
      </c>
      <c r="L42" s="76">
        <v>1773992.5</v>
      </c>
      <c r="M42" s="77">
        <f>ROUND(AVERAGE(J42:L42),2)</f>
        <v>1781900.17</v>
      </c>
      <c r="N42" s="78">
        <f>ROUND((E42+I42+M42)/3,2)</f>
        <v>1578000.06</v>
      </c>
      <c r="O42" s="112">
        <v>1574681.95</v>
      </c>
      <c r="P42" s="79" t="s">
        <v>52</v>
      </c>
      <c r="Q42" s="80"/>
      <c r="R42" s="80"/>
      <c r="S42" s="80"/>
      <c r="T42" s="80"/>
      <c r="V42" s="80"/>
      <c r="W42" s="80"/>
      <c r="X42" s="81"/>
    </row>
    <row r="43" spans="1:24" ht="22.5" customHeight="1" x14ac:dyDescent="0.25">
      <c r="A43" s="74" t="s">
        <v>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10">
        <f>N42*B40</f>
        <v>1578000.06</v>
      </c>
      <c r="O43" s="112">
        <f>O42*B40</f>
        <v>1574681.95</v>
      </c>
      <c r="P43" s="111"/>
      <c r="T43" s="80"/>
      <c r="V43" s="80"/>
    </row>
    <row r="44" spans="1:24" ht="43.5" customHeight="1" x14ac:dyDescent="0.25">
      <c r="A44" s="74" t="s">
        <v>2</v>
      </c>
      <c r="B44" s="141" t="s">
        <v>98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73"/>
      <c r="O44" s="113"/>
      <c r="P44" s="73"/>
    </row>
    <row r="45" spans="1:24" ht="32.25" customHeight="1" x14ac:dyDescent="0.25">
      <c r="A45" s="74" t="s">
        <v>55</v>
      </c>
      <c r="B45" s="142">
        <v>1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/>
      <c r="N45" s="73"/>
      <c r="O45" s="73"/>
      <c r="P45" s="73"/>
    </row>
    <row r="46" spans="1:24" ht="28.5" customHeight="1" x14ac:dyDescent="0.25">
      <c r="A46" s="74" t="s">
        <v>54</v>
      </c>
      <c r="B46" s="145" t="s">
        <v>121</v>
      </c>
      <c r="C46" s="145"/>
      <c r="D46" s="145"/>
      <c r="E46" s="145"/>
      <c r="F46" s="145" t="s">
        <v>119</v>
      </c>
      <c r="G46" s="145"/>
      <c r="H46" s="145"/>
      <c r="I46" s="145"/>
      <c r="J46" s="145" t="s">
        <v>120</v>
      </c>
      <c r="K46" s="145"/>
      <c r="L46" s="145"/>
      <c r="M46" s="145"/>
      <c r="N46" s="73"/>
      <c r="O46" s="73"/>
      <c r="P46" s="73"/>
    </row>
    <row r="47" spans="1:24" x14ac:dyDescent="0.25">
      <c r="A47" s="74" t="s">
        <v>53</v>
      </c>
      <c r="B47" s="75">
        <v>23170000</v>
      </c>
      <c r="C47" s="75">
        <v>24470000</v>
      </c>
      <c r="D47" s="76">
        <v>23617200</v>
      </c>
      <c r="E47" s="77">
        <f>ROUND(AVERAGE(B47:D47),2)</f>
        <v>23752400</v>
      </c>
      <c r="F47" s="75">
        <v>24957000</v>
      </c>
      <c r="G47" s="75">
        <v>24484608</v>
      </c>
      <c r="H47" s="76">
        <v>25473132</v>
      </c>
      <c r="I47" s="77">
        <f>ROUND(AVERAGE(F47:H47),2)</f>
        <v>24971580</v>
      </c>
      <c r="J47" s="75">
        <v>28080000</v>
      </c>
      <c r="K47" s="76">
        <v>28728000</v>
      </c>
      <c r="L47" s="76">
        <v>28339200</v>
      </c>
      <c r="M47" s="77">
        <f>ROUND(AVERAGE(J47:L47),2)</f>
        <v>28382400</v>
      </c>
      <c r="N47" s="78">
        <f>ROUND((E47+I47+M47)/3,2)</f>
        <v>25702126.670000002</v>
      </c>
      <c r="O47" s="112">
        <v>25702126.670000002</v>
      </c>
      <c r="P47" s="79" t="s">
        <v>52</v>
      </c>
      <c r="Q47" s="80"/>
      <c r="R47" s="80"/>
      <c r="S47" s="80"/>
      <c r="T47" s="80"/>
      <c r="V47" s="80"/>
      <c r="W47" s="80"/>
      <c r="X47" s="81"/>
    </row>
    <row r="48" spans="1:24" x14ac:dyDescent="0.25">
      <c r="A48" s="74" t="s">
        <v>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110">
        <f>N47*B45</f>
        <v>25702126.670000002</v>
      </c>
      <c r="O48" s="112">
        <f>O47*B45</f>
        <v>25702126.670000002</v>
      </c>
      <c r="P48" s="111"/>
      <c r="T48" s="80"/>
      <c r="V48" s="80"/>
    </row>
    <row r="49" spans="1:22" ht="47.25" customHeight="1" x14ac:dyDescent="0.25">
      <c r="A49" s="74" t="s">
        <v>2</v>
      </c>
      <c r="B49" s="141" t="s">
        <v>99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73"/>
      <c r="O49" s="113"/>
      <c r="P49" s="73"/>
      <c r="T49" s="80"/>
      <c r="V49" s="80"/>
    </row>
    <row r="50" spans="1:22" ht="29.25" customHeight="1" x14ac:dyDescent="0.25">
      <c r="A50" s="74" t="s">
        <v>55</v>
      </c>
      <c r="B50" s="142">
        <v>1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4"/>
      <c r="N50" s="73"/>
      <c r="O50" s="73"/>
      <c r="P50" s="73"/>
      <c r="T50" s="80"/>
      <c r="V50" s="80"/>
    </row>
    <row r="51" spans="1:22" ht="27.75" customHeight="1" x14ac:dyDescent="0.25">
      <c r="A51" s="74" t="s">
        <v>54</v>
      </c>
      <c r="B51" s="145" t="s">
        <v>123</v>
      </c>
      <c r="C51" s="145"/>
      <c r="D51" s="145"/>
      <c r="E51" s="145"/>
      <c r="F51" s="145" t="s">
        <v>127</v>
      </c>
      <c r="G51" s="145"/>
      <c r="H51" s="145"/>
      <c r="I51" s="145"/>
      <c r="J51" s="145" t="s">
        <v>130</v>
      </c>
      <c r="K51" s="145"/>
      <c r="L51" s="145"/>
      <c r="M51" s="145"/>
      <c r="N51" s="73"/>
      <c r="O51" s="73"/>
      <c r="P51" s="73"/>
      <c r="T51" s="80"/>
      <c r="V51" s="80"/>
    </row>
    <row r="52" spans="1:22" x14ac:dyDescent="0.25">
      <c r="A52" s="74" t="s">
        <v>53</v>
      </c>
      <c r="B52" s="75">
        <v>8250000</v>
      </c>
      <c r="C52" s="75">
        <v>8662500</v>
      </c>
      <c r="D52" s="76">
        <v>9487500</v>
      </c>
      <c r="E52" s="77">
        <f>ROUND(AVERAGE(B52:D52),2)</f>
        <v>8800000</v>
      </c>
      <c r="F52" s="75">
        <v>9300000</v>
      </c>
      <c r="G52" s="75">
        <v>10130000</v>
      </c>
      <c r="H52" s="76">
        <v>9579000</v>
      </c>
      <c r="I52" s="77">
        <f>ROUND(AVERAGE(F52:H52),2)</f>
        <v>9669666.6699999999</v>
      </c>
      <c r="J52" s="75">
        <v>9700000</v>
      </c>
      <c r="K52" s="76">
        <v>10850000</v>
      </c>
      <c r="L52" s="76">
        <v>9610000</v>
      </c>
      <c r="M52" s="77">
        <f>ROUND(AVERAGE(J52:L52),2)</f>
        <v>10053333.33</v>
      </c>
      <c r="N52" s="78">
        <f>ROUND((E52+I52+M52)/3,2)</f>
        <v>9507666.6699999999</v>
      </c>
      <c r="O52" s="112">
        <v>9507666.6699999999</v>
      </c>
      <c r="P52" s="79" t="s">
        <v>52</v>
      </c>
      <c r="T52" s="80"/>
      <c r="V52" s="80"/>
    </row>
    <row r="53" spans="1:22" x14ac:dyDescent="0.25">
      <c r="A53" s="74" t="s">
        <v>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110">
        <f>N52*B50</f>
        <v>9507666.6699999999</v>
      </c>
      <c r="O53" s="112">
        <f>O52*B50</f>
        <v>9507666.6699999999</v>
      </c>
      <c r="P53" s="111"/>
      <c r="T53" s="80"/>
      <c r="V53" s="80"/>
    </row>
    <row r="54" spans="1:22" ht="41.25" customHeight="1" x14ac:dyDescent="0.25">
      <c r="A54" s="74" t="s">
        <v>2</v>
      </c>
      <c r="B54" s="141" t="s">
        <v>100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73"/>
      <c r="O54" s="113"/>
      <c r="P54" s="73"/>
      <c r="T54" s="80"/>
      <c r="V54" s="80"/>
    </row>
    <row r="55" spans="1:22" ht="32.25" customHeight="1" x14ac:dyDescent="0.25">
      <c r="A55" s="74" t="s">
        <v>55</v>
      </c>
      <c r="B55" s="142">
        <v>1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4"/>
      <c r="N55" s="73"/>
      <c r="O55" s="73"/>
      <c r="P55" s="73"/>
      <c r="T55" s="80"/>
      <c r="V55" s="80"/>
    </row>
    <row r="56" spans="1:22" ht="29.25" customHeight="1" x14ac:dyDescent="0.25">
      <c r="A56" s="74" t="s">
        <v>54</v>
      </c>
      <c r="B56" s="145" t="s">
        <v>124</v>
      </c>
      <c r="C56" s="145"/>
      <c r="D56" s="145"/>
      <c r="E56" s="145"/>
      <c r="F56" s="145" t="s">
        <v>128</v>
      </c>
      <c r="G56" s="145"/>
      <c r="H56" s="145"/>
      <c r="I56" s="145"/>
      <c r="J56" s="145" t="s">
        <v>131</v>
      </c>
      <c r="K56" s="145"/>
      <c r="L56" s="145"/>
      <c r="M56" s="145"/>
      <c r="N56" s="73"/>
      <c r="O56" s="73"/>
      <c r="P56" s="73"/>
      <c r="T56" s="80"/>
      <c r="V56" s="80"/>
    </row>
    <row r="57" spans="1:22" x14ac:dyDescent="0.25">
      <c r="A57" s="74" t="s">
        <v>53</v>
      </c>
      <c r="B57" s="75">
        <v>96150</v>
      </c>
      <c r="C57" s="75">
        <v>94386</v>
      </c>
      <c r="D57" s="76">
        <v>94827</v>
      </c>
      <c r="E57" s="77">
        <f>ROUND(AVERAGE(B57:D57),2)</f>
        <v>95121</v>
      </c>
      <c r="F57" s="75">
        <v>94746</v>
      </c>
      <c r="G57" s="75">
        <v>91508.7</v>
      </c>
      <c r="H57" s="76">
        <v>92803.62</v>
      </c>
      <c r="I57" s="77">
        <f>ROUND(AVERAGE(F57:H57),2)</f>
        <v>93019.44</v>
      </c>
      <c r="J57" s="75">
        <v>104228</v>
      </c>
      <c r="K57" s="76">
        <v>106633.4</v>
      </c>
      <c r="L57" s="76">
        <v>99417.2</v>
      </c>
      <c r="M57" s="77">
        <f>ROUND(AVERAGE(J57:L57),2)</f>
        <v>103426.2</v>
      </c>
      <c r="N57" s="78">
        <f>ROUND((E57+I57+M57)/3,2)</f>
        <v>97188.88</v>
      </c>
      <c r="O57" s="112">
        <v>94394.880000000005</v>
      </c>
      <c r="P57" s="79" t="s">
        <v>52</v>
      </c>
      <c r="T57" s="80"/>
      <c r="V57" s="80"/>
    </row>
    <row r="58" spans="1:22" x14ac:dyDescent="0.25">
      <c r="A58" s="74" t="s">
        <v>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110">
        <f>N57*B55</f>
        <v>97188.88</v>
      </c>
      <c r="O58" s="112">
        <f>O57*B55</f>
        <v>94394.880000000005</v>
      </c>
      <c r="P58" s="111"/>
      <c r="T58" s="80"/>
      <c r="V58" s="80"/>
    </row>
    <row r="59" spans="1:22" ht="43.5" customHeight="1" x14ac:dyDescent="0.25">
      <c r="A59" s="74" t="s">
        <v>2</v>
      </c>
      <c r="B59" s="141" t="s">
        <v>101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73"/>
      <c r="O59" s="113"/>
      <c r="P59" s="73"/>
      <c r="T59" s="80"/>
      <c r="V59" s="80"/>
    </row>
    <row r="60" spans="1:22" ht="25.5" x14ac:dyDescent="0.25">
      <c r="A60" s="74" t="s">
        <v>55</v>
      </c>
      <c r="B60" s="142">
        <v>1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4"/>
      <c r="N60" s="73"/>
      <c r="O60" s="73"/>
      <c r="P60" s="73"/>
      <c r="T60" s="80"/>
      <c r="V60" s="80"/>
    </row>
    <row r="61" spans="1:22" ht="28.5" customHeight="1" x14ac:dyDescent="0.25">
      <c r="A61" s="74" t="s">
        <v>54</v>
      </c>
      <c r="B61" s="145" t="s">
        <v>125</v>
      </c>
      <c r="C61" s="145"/>
      <c r="D61" s="145"/>
      <c r="E61" s="145"/>
      <c r="F61" s="145" t="s">
        <v>129</v>
      </c>
      <c r="G61" s="145"/>
      <c r="H61" s="145"/>
      <c r="I61" s="145"/>
      <c r="J61" s="145" t="s">
        <v>132</v>
      </c>
      <c r="K61" s="145"/>
      <c r="L61" s="145"/>
      <c r="M61" s="145"/>
      <c r="N61" s="73"/>
      <c r="O61" s="73"/>
      <c r="P61" s="73"/>
      <c r="T61" s="80"/>
      <c r="V61" s="80"/>
    </row>
    <row r="62" spans="1:22" x14ac:dyDescent="0.25">
      <c r="A62" s="74" t="s">
        <v>53</v>
      </c>
      <c r="B62" s="75">
        <v>1019016</v>
      </c>
      <c r="C62" s="75">
        <v>1001022</v>
      </c>
      <c r="D62" s="76">
        <v>1009575</v>
      </c>
      <c r="E62" s="77">
        <f>ROUND(AVERAGE(B62:D62),2)</f>
        <v>1009871</v>
      </c>
      <c r="F62" s="75">
        <v>1204000</v>
      </c>
      <c r="G62" s="75">
        <v>1155840</v>
      </c>
      <c r="H62" s="76">
        <v>1189552</v>
      </c>
      <c r="I62" s="77">
        <f>ROUND(AVERAGE(F62:H62),2)</f>
        <v>1183130.67</v>
      </c>
      <c r="J62" s="75">
        <v>1128436</v>
      </c>
      <c r="K62" s="76">
        <v>1196142.1599999999</v>
      </c>
      <c r="L62" s="76">
        <v>1154954.25</v>
      </c>
      <c r="M62" s="77">
        <f>ROUND(AVERAGE(J62:L62),2)</f>
        <v>1159844.1399999999</v>
      </c>
      <c r="N62" s="78">
        <f>ROUND((E62+I62+M62)/3,2)</f>
        <v>1117615.27</v>
      </c>
      <c r="O62" s="112">
        <v>1117615.27</v>
      </c>
      <c r="P62" s="79" t="s">
        <v>52</v>
      </c>
      <c r="T62" s="80"/>
      <c r="V62" s="80"/>
    </row>
    <row r="63" spans="1:22" x14ac:dyDescent="0.25">
      <c r="A63" s="74" t="s">
        <v>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110">
        <f>N62*B60</f>
        <v>1117615.27</v>
      </c>
      <c r="O63" s="112">
        <f>O62*B60</f>
        <v>1117615.27</v>
      </c>
      <c r="P63" s="111"/>
      <c r="T63" s="80"/>
      <c r="V63" s="80"/>
    </row>
    <row r="64" spans="1:22" ht="44.25" customHeight="1" x14ac:dyDescent="0.25">
      <c r="A64" s="74" t="s">
        <v>2</v>
      </c>
      <c r="B64" s="141" t="s">
        <v>102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73"/>
      <c r="O64" s="113"/>
      <c r="P64" s="73"/>
      <c r="T64" s="80"/>
      <c r="V64" s="80"/>
    </row>
    <row r="65" spans="1:22" ht="30" customHeight="1" x14ac:dyDescent="0.25">
      <c r="A65" s="74" t="s">
        <v>55</v>
      </c>
      <c r="B65" s="142">
        <v>1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4"/>
      <c r="N65" s="73"/>
      <c r="O65" s="73"/>
      <c r="P65" s="73"/>
      <c r="T65" s="80"/>
      <c r="V65" s="80"/>
    </row>
    <row r="66" spans="1:22" ht="28.5" customHeight="1" x14ac:dyDescent="0.25">
      <c r="A66" s="74" t="s">
        <v>54</v>
      </c>
      <c r="B66" s="145" t="s">
        <v>126</v>
      </c>
      <c r="C66" s="145"/>
      <c r="D66" s="145"/>
      <c r="E66" s="145"/>
      <c r="F66" s="145" t="s">
        <v>128</v>
      </c>
      <c r="G66" s="145"/>
      <c r="H66" s="145"/>
      <c r="I66" s="145"/>
      <c r="J66" s="145" t="s">
        <v>133</v>
      </c>
      <c r="K66" s="145"/>
      <c r="L66" s="145"/>
      <c r="M66" s="145"/>
      <c r="N66" s="73"/>
      <c r="O66" s="73"/>
      <c r="P66" s="73"/>
      <c r="T66" s="80"/>
      <c r="V66" s="80"/>
    </row>
    <row r="67" spans="1:22" x14ac:dyDescent="0.25">
      <c r="A67" s="74" t="s">
        <v>53</v>
      </c>
      <c r="B67" s="75">
        <v>864000</v>
      </c>
      <c r="C67" s="75">
        <v>829440</v>
      </c>
      <c r="D67" s="76">
        <v>799200</v>
      </c>
      <c r="E67" s="77">
        <f>ROUND(AVERAGE(B67:D67),2)</f>
        <v>830880</v>
      </c>
      <c r="F67" s="75">
        <v>821340</v>
      </c>
      <c r="G67" s="75">
        <v>766260</v>
      </c>
      <c r="H67" s="76">
        <v>760752</v>
      </c>
      <c r="I67" s="77">
        <f>ROUND(AVERAGE(F67:H67),2)</f>
        <v>782784</v>
      </c>
      <c r="J67" s="75">
        <v>693856</v>
      </c>
      <c r="K67" s="76">
        <v>675400.96</v>
      </c>
      <c r="L67" s="76">
        <v>716924.8</v>
      </c>
      <c r="M67" s="77">
        <f>ROUND(AVERAGE(J67:L67),2)</f>
        <v>695393.92</v>
      </c>
      <c r="N67" s="78">
        <f>ROUND((E67+I67+M67)/3,2)</f>
        <v>769685.97</v>
      </c>
      <c r="O67" s="112">
        <v>739088.96</v>
      </c>
      <c r="P67" s="79" t="s">
        <v>52</v>
      </c>
      <c r="T67" s="80"/>
      <c r="V67" s="80"/>
    </row>
    <row r="68" spans="1:22" x14ac:dyDescent="0.25">
      <c r="A68" s="74" t="s">
        <v>1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110">
        <f>N67*B65</f>
        <v>769685.97</v>
      </c>
      <c r="O68" s="112">
        <f>O67*B65</f>
        <v>739088.96</v>
      </c>
      <c r="P68" s="111"/>
      <c r="T68" s="80"/>
      <c r="V68" s="80"/>
    </row>
    <row r="69" spans="1:22" x14ac:dyDescent="0.25">
      <c r="A69" s="74" t="s">
        <v>51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110">
        <f>N13+N18+N23+N28+N33+N38+N43+N48+N53+N58+N63+N68</f>
        <v>248195352.28999999</v>
      </c>
      <c r="O69" s="112">
        <f>O13+O18+O23+O28+O33+O38+O43+O48+O53+O58+O63+O68</f>
        <v>233903802.91</v>
      </c>
      <c r="P69" s="111"/>
      <c r="T69" s="83"/>
      <c r="V69" s="83"/>
    </row>
    <row r="70" spans="1:22" x14ac:dyDescent="0.25">
      <c r="N70" s="84"/>
      <c r="P70" s="76"/>
    </row>
    <row r="71" spans="1:22" x14ac:dyDescent="0.2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M71" s="84"/>
      <c r="N71" s="84"/>
    </row>
    <row r="72" spans="1:22" ht="28.15" customHeight="1" x14ac:dyDescent="0.25">
      <c r="A72" s="154"/>
      <c r="B72" s="154"/>
      <c r="C72" s="154"/>
      <c r="D72" s="154"/>
      <c r="E72" s="154"/>
      <c r="F72" s="154"/>
      <c r="G72" s="154"/>
      <c r="N72" s="84"/>
    </row>
    <row r="73" spans="1:22" ht="32.1" customHeight="1" x14ac:dyDescent="0.25">
      <c r="A73" s="67"/>
    </row>
  </sheetData>
  <mergeCells count="70">
    <mergeCell ref="P7:P8"/>
    <mergeCell ref="A71:J71"/>
    <mergeCell ref="A72:G72"/>
    <mergeCell ref="B24:M24"/>
    <mergeCell ref="A7:A8"/>
    <mergeCell ref="N7:N8"/>
    <mergeCell ref="O7:O8"/>
    <mergeCell ref="B15:M15"/>
    <mergeCell ref="B16:E16"/>
    <mergeCell ref="B30:M30"/>
    <mergeCell ref="B7:D7"/>
    <mergeCell ref="A3:O3"/>
    <mergeCell ref="B25:M25"/>
    <mergeCell ref="B26:E26"/>
    <mergeCell ref="F26:I26"/>
    <mergeCell ref="B19:M19"/>
    <mergeCell ref="B20:M20"/>
    <mergeCell ref="B21:E21"/>
    <mergeCell ref="B11:E11"/>
    <mergeCell ref="F11:I11"/>
    <mergeCell ref="J11:M11"/>
    <mergeCell ref="B14:M14"/>
    <mergeCell ref="F21:I21"/>
    <mergeCell ref="J21:M21"/>
    <mergeCell ref="F7:H7"/>
    <mergeCell ref="J7:L7"/>
    <mergeCell ref="B9:M9"/>
    <mergeCell ref="B10:M10"/>
    <mergeCell ref="F16:I16"/>
    <mergeCell ref="J16:M16"/>
    <mergeCell ref="B39:M39"/>
    <mergeCell ref="B40:M40"/>
    <mergeCell ref="B41:E41"/>
    <mergeCell ref="F41:I41"/>
    <mergeCell ref="J26:M26"/>
    <mergeCell ref="B34:M34"/>
    <mergeCell ref="B35:M35"/>
    <mergeCell ref="B36:E36"/>
    <mergeCell ref="F36:I36"/>
    <mergeCell ref="J36:M36"/>
    <mergeCell ref="B29:M29"/>
    <mergeCell ref="B31:E31"/>
    <mergeCell ref="F31:I31"/>
    <mergeCell ref="J31:M31"/>
    <mergeCell ref="J41:M41"/>
    <mergeCell ref="B46:E46"/>
    <mergeCell ref="F46:I46"/>
    <mergeCell ref="J46:M46"/>
    <mergeCell ref="B44:M44"/>
    <mergeCell ref="B45:M45"/>
    <mergeCell ref="B49:M49"/>
    <mergeCell ref="B50:M50"/>
    <mergeCell ref="B51:E51"/>
    <mergeCell ref="F51:I51"/>
    <mergeCell ref="J51:M51"/>
    <mergeCell ref="B54:M54"/>
    <mergeCell ref="B55:M55"/>
    <mergeCell ref="B56:E56"/>
    <mergeCell ref="F56:I56"/>
    <mergeCell ref="J56:M56"/>
    <mergeCell ref="B59:M59"/>
    <mergeCell ref="B60:M60"/>
    <mergeCell ref="B61:E61"/>
    <mergeCell ref="F61:I61"/>
    <mergeCell ref="J61:M61"/>
    <mergeCell ref="B64:M64"/>
    <mergeCell ref="B65:M65"/>
    <mergeCell ref="B66:E66"/>
    <mergeCell ref="F66:I66"/>
    <mergeCell ref="J66:M66"/>
  </mergeCells>
  <pageMargins left="0.75" right="0.75" top="1" bottom="1" header="0.5" footer="0.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Сводная ИТОГО</vt:lpstr>
      <vt:lpstr>Расчет работ МРР</vt:lpstr>
      <vt:lpstr>свод Оборудования</vt:lpstr>
      <vt:lpstr>расчет оборудования</vt:lpstr>
      <vt:lpstr>'свод Оборудования'!Область_печати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2015-09-15T18:31:11Z</dcterms:created>
  <dcterms:modified xsi:type="dcterms:W3CDTF">2020-10-14T14:41:15Z</dcterms:modified>
</cp:coreProperties>
</file>