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ОГЗ\!  !  !  !  !  !  Обменник\!! На ввод в ЕАИСТ\! Для ПГ 2018\551-988 ИС Мониторинг и анализ интернетактивности 51млн. Гурова (Н.В.)\Для публикации\"/>
    </mc:Choice>
  </mc:AlternateContent>
  <bookViews>
    <workbookView xWindow="0" yWindow="0" windowWidth="24240" windowHeight="11835" activeTab="2"/>
  </bookViews>
  <sheets>
    <sheet name="ФТ " sheetId="47" r:id="rId1"/>
    <sheet name="Трудоемкость" sheetId="28" r:id="rId2"/>
    <sheet name="СТАТС" sheetId="34" r:id="rId3"/>
    <sheet name="Коэффициенты" sheetId="43" r:id="rId4"/>
    <sheet name="ИБ по МРР" sheetId="52" r:id="rId5"/>
  </sheets>
  <definedNames>
    <definedName name="_ftn1" localSheetId="1">Трудоемкость!#REF!</definedName>
    <definedName name="_ftnref1" localSheetId="1">Трудоемкость!#REF!</definedName>
    <definedName name="_GoBack" localSheetId="1">Трудоемкость!#REF!</definedName>
    <definedName name="_Toc424036212" localSheetId="1">Трудоемкость!#REF!</definedName>
    <definedName name="_xlnm._FilterDatabase" localSheetId="4" hidden="1">'ИБ по МРР'!$A$14:$T$37</definedName>
    <definedName name="_xlnm._FilterDatabase" localSheetId="0" hidden="1">'ФТ '!$D$3:$H$82</definedName>
    <definedName name="_xlnm.Print_Titles" localSheetId="1">Трудоемкость!$C:$D,Трудоемкость!$3:$4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34" l="1"/>
  <c r="D41" i="34" l="1"/>
  <c r="D40" i="34"/>
  <c r="D39" i="34"/>
  <c r="C40" i="34"/>
  <c r="C39" i="34"/>
  <c r="D38" i="34" l="1"/>
  <c r="D78" i="47" l="1"/>
  <c r="F4" i="52" l="1"/>
  <c r="F3" i="52"/>
  <c r="F2" i="52"/>
  <c r="F36" i="52" l="1"/>
  <c r="H35" i="52"/>
  <c r="H34" i="52"/>
  <c r="H33" i="52"/>
  <c r="H32" i="52"/>
  <c r="F29" i="52"/>
  <c r="J10" i="52" s="1"/>
  <c r="H28" i="52"/>
  <c r="H27" i="52"/>
  <c r="H26" i="52"/>
  <c r="H25" i="52"/>
  <c r="H24" i="52"/>
  <c r="F21" i="52"/>
  <c r="J9" i="52" s="1"/>
  <c r="H20" i="52"/>
  <c r="H19" i="52"/>
  <c r="H18" i="52"/>
  <c r="H17" i="52"/>
  <c r="H16" i="52"/>
  <c r="J11" i="52"/>
  <c r="I11" i="52"/>
  <c r="E11" i="52"/>
  <c r="H11" i="52" s="1"/>
  <c r="I10" i="52"/>
  <c r="E10" i="52"/>
  <c r="H10" i="52" s="1"/>
  <c r="I9" i="52"/>
  <c r="E9" i="52"/>
  <c r="H9" i="52" s="1"/>
  <c r="H21" i="52" l="1"/>
  <c r="H22" i="52" s="1"/>
  <c r="H29" i="52"/>
  <c r="H30" i="52" s="1"/>
  <c r="K10" i="52" s="1"/>
  <c r="L10" i="52" s="1"/>
  <c r="N10" i="52" s="1"/>
  <c r="O10" i="52" s="1"/>
  <c r="H36" i="52"/>
  <c r="H37" i="52" s="1"/>
  <c r="K11" i="52" s="1"/>
  <c r="L11" i="52" s="1"/>
  <c r="N11" i="52" s="1"/>
  <c r="O11" i="52" s="1"/>
  <c r="K9" i="52" l="1"/>
  <c r="L9" i="52" s="1"/>
  <c r="N9" i="52" s="1"/>
  <c r="O9" i="52" l="1"/>
  <c r="O12" i="52" s="1"/>
  <c r="N12" i="52"/>
  <c r="C35" i="34" s="1"/>
  <c r="E6" i="34" l="1"/>
  <c r="D61" i="47"/>
  <c r="D58" i="47"/>
  <c r="D55" i="47"/>
  <c r="H78" i="47"/>
  <c r="G78" i="47"/>
  <c r="F78" i="47"/>
  <c r="E78" i="47"/>
  <c r="H74" i="47"/>
  <c r="G74" i="47"/>
  <c r="F74" i="47"/>
  <c r="E74" i="47"/>
  <c r="D74" i="47"/>
  <c r="H69" i="47"/>
  <c r="G69" i="47"/>
  <c r="F69" i="47"/>
  <c r="E69" i="47"/>
  <c r="D69" i="47"/>
  <c r="H65" i="47"/>
  <c r="G65" i="47"/>
  <c r="F65" i="47"/>
  <c r="E65" i="47"/>
  <c r="D65" i="47"/>
  <c r="D17" i="47"/>
  <c r="H12" i="47"/>
  <c r="G12" i="47"/>
  <c r="F12" i="47"/>
  <c r="E12" i="47"/>
  <c r="D12" i="47"/>
  <c r="E64" i="47" l="1"/>
  <c r="I69" i="47"/>
  <c r="I74" i="47"/>
  <c r="F64" i="47"/>
  <c r="G11" i="28" s="1"/>
  <c r="M11" i="28" s="1"/>
  <c r="G64" i="47"/>
  <c r="H11" i="28" s="1"/>
  <c r="N11" i="28" s="1"/>
  <c r="I12" i="47"/>
  <c r="I65" i="47"/>
  <c r="H64" i="47"/>
  <c r="I11" i="28" s="1"/>
  <c r="O11" i="28" s="1"/>
  <c r="D64" i="47"/>
  <c r="E11" i="28" s="1"/>
  <c r="K11" i="28" s="1"/>
  <c r="I78" i="47"/>
  <c r="F11" i="28"/>
  <c r="I64" i="47" l="1"/>
  <c r="L11" i="28"/>
  <c r="P11" i="28" s="1"/>
  <c r="S11" i="28" s="1"/>
  <c r="AA11" i="28" s="1"/>
  <c r="J11" i="28"/>
  <c r="E50" i="47" l="1"/>
  <c r="F50" i="47"/>
  <c r="G50" i="47"/>
  <c r="H50" i="47"/>
  <c r="D50" i="47"/>
  <c r="E47" i="47"/>
  <c r="F47" i="47"/>
  <c r="G47" i="47"/>
  <c r="H47" i="47"/>
  <c r="D47" i="47"/>
  <c r="E44" i="47"/>
  <c r="F44" i="47"/>
  <c r="G44" i="47"/>
  <c r="H44" i="47"/>
  <c r="D44" i="47"/>
  <c r="E41" i="47"/>
  <c r="F41" i="47"/>
  <c r="G41" i="47"/>
  <c r="H41" i="47"/>
  <c r="D41" i="47"/>
  <c r="E38" i="47"/>
  <c r="F38" i="47"/>
  <c r="G38" i="47"/>
  <c r="H38" i="47"/>
  <c r="D38" i="47"/>
  <c r="E35" i="47"/>
  <c r="F35" i="47"/>
  <c r="G35" i="47"/>
  <c r="H35" i="47"/>
  <c r="D35" i="47"/>
  <c r="I44" i="47" l="1"/>
  <c r="I35" i="47"/>
  <c r="I47" i="47"/>
  <c r="I38" i="47"/>
  <c r="I41" i="47"/>
  <c r="I50" i="47"/>
  <c r="D29" i="47" l="1"/>
  <c r="D26" i="47"/>
  <c r="D23" i="47"/>
  <c r="D16" i="47" s="1"/>
  <c r="D6" i="47" l="1"/>
  <c r="E7" i="28" l="1"/>
  <c r="H61" i="47"/>
  <c r="G61" i="47"/>
  <c r="F61" i="47"/>
  <c r="E61" i="47"/>
  <c r="H58" i="47"/>
  <c r="G58" i="47"/>
  <c r="F58" i="47"/>
  <c r="E58" i="47"/>
  <c r="H55" i="47"/>
  <c r="G55" i="47"/>
  <c r="F55" i="47"/>
  <c r="E55" i="47"/>
  <c r="H34" i="47"/>
  <c r="I9" i="28" s="1"/>
  <c r="G34" i="47"/>
  <c r="H9" i="28" s="1"/>
  <c r="F34" i="47"/>
  <c r="G9" i="28" s="1"/>
  <c r="E34" i="47"/>
  <c r="F9" i="28" s="1"/>
  <c r="D34" i="47"/>
  <c r="E9" i="28" s="1"/>
  <c r="I32" i="47"/>
  <c r="H32" i="47"/>
  <c r="I8" i="28" s="1"/>
  <c r="G32" i="47"/>
  <c r="H8" i="28" s="1"/>
  <c r="F32" i="47"/>
  <c r="G8" i="28" s="1"/>
  <c r="E32" i="47"/>
  <c r="F8" i="28" s="1"/>
  <c r="D32" i="47"/>
  <c r="E8" i="28" s="1"/>
  <c r="H29" i="47"/>
  <c r="G29" i="47"/>
  <c r="F29" i="47"/>
  <c r="E29" i="47"/>
  <c r="H26" i="47"/>
  <c r="G26" i="47"/>
  <c r="F26" i="47"/>
  <c r="E26" i="47"/>
  <c r="H23" i="47"/>
  <c r="G23" i="47"/>
  <c r="F23" i="47"/>
  <c r="E23" i="47"/>
  <c r="H17" i="47"/>
  <c r="G17" i="47"/>
  <c r="F17" i="47"/>
  <c r="E17" i="47"/>
  <c r="H10" i="47"/>
  <c r="G10" i="47"/>
  <c r="F10" i="47"/>
  <c r="E10" i="47"/>
  <c r="D10" i="47"/>
  <c r="H6" i="47"/>
  <c r="G6" i="47"/>
  <c r="F6" i="47"/>
  <c r="E6" i="47"/>
  <c r="I55" i="47" l="1"/>
  <c r="I58" i="47"/>
  <c r="I61" i="47"/>
  <c r="I6" i="47"/>
  <c r="I17" i="47"/>
  <c r="I23" i="47"/>
  <c r="I26" i="47"/>
  <c r="I29" i="47"/>
  <c r="E5" i="47"/>
  <c r="I10" i="47"/>
  <c r="H54" i="47"/>
  <c r="I10" i="28" s="1"/>
  <c r="D54" i="47"/>
  <c r="E10" i="28" s="1"/>
  <c r="G5" i="47"/>
  <c r="G54" i="47"/>
  <c r="H10" i="28" s="1"/>
  <c r="E54" i="47"/>
  <c r="F10" i="28" s="1"/>
  <c r="G16" i="47"/>
  <c r="F16" i="47"/>
  <c r="G7" i="28" s="1"/>
  <c r="D5" i="47"/>
  <c r="H5" i="47"/>
  <c r="E16" i="47"/>
  <c r="I16" i="47" s="1"/>
  <c r="F5" i="47"/>
  <c r="I34" i="47"/>
  <c r="H16" i="47"/>
  <c r="F54" i="47"/>
  <c r="I6" i="28" l="1"/>
  <c r="H4" i="47"/>
  <c r="E6" i="28"/>
  <c r="E5" i="28" s="1"/>
  <c r="D4" i="47"/>
  <c r="F4" i="47"/>
  <c r="H6" i="28"/>
  <c r="G4" i="47"/>
  <c r="F6" i="28"/>
  <c r="E4" i="47"/>
  <c r="F7" i="28"/>
  <c r="I54" i="47"/>
  <c r="G10" i="28"/>
  <c r="G6" i="28"/>
  <c r="I7" i="28"/>
  <c r="I5" i="28" s="1"/>
  <c r="H7" i="28"/>
  <c r="I5" i="47"/>
  <c r="H5" i="28" l="1"/>
  <c r="F5" i="28"/>
  <c r="G5" i="28"/>
  <c r="I4" i="47"/>
  <c r="J6" i="28"/>
  <c r="J7" i="28"/>
  <c r="J8" i="28"/>
  <c r="J9" i="28"/>
  <c r="J10" i="28"/>
  <c r="J5" i="28" l="1"/>
  <c r="C9" i="34" l="1"/>
  <c r="F6" i="34" l="1"/>
  <c r="O10" i="28" l="1"/>
  <c r="N10" i="28"/>
  <c r="M10" i="28"/>
  <c r="L10" i="28"/>
  <c r="K10" i="28"/>
  <c r="O9" i="28"/>
  <c r="N9" i="28"/>
  <c r="M9" i="28"/>
  <c r="L9" i="28"/>
  <c r="K9" i="28"/>
  <c r="O8" i="28"/>
  <c r="N8" i="28"/>
  <c r="M8" i="28"/>
  <c r="L8" i="28"/>
  <c r="K8" i="28"/>
  <c r="O7" i="28"/>
  <c r="N7" i="28"/>
  <c r="M7" i="28"/>
  <c r="L7" i="28"/>
  <c r="K7" i="28"/>
  <c r="P7" i="28" l="1"/>
  <c r="S7" i="28" s="1"/>
  <c r="AA7" i="28" s="1"/>
  <c r="P10" i="28"/>
  <c r="S10" i="28" s="1"/>
  <c r="AA10" i="28" s="1"/>
  <c r="P8" i="28"/>
  <c r="S8" i="28" s="1"/>
  <c r="AA8" i="28" s="1"/>
  <c r="P9" i="28"/>
  <c r="S9" i="28" s="1"/>
  <c r="AA9" i="28" s="1"/>
  <c r="G15" i="34" l="1"/>
  <c r="O6" i="28" l="1"/>
  <c r="O5" i="28" s="1"/>
  <c r="N6" i="28"/>
  <c r="N5" i="28" s="1"/>
  <c r="M6" i="28"/>
  <c r="M5" i="28" s="1"/>
  <c r="L6" i="28"/>
  <c r="L5" i="28" s="1"/>
  <c r="K6" i="28"/>
  <c r="K5" i="28" s="1"/>
  <c r="P6" i="28" l="1"/>
  <c r="S6" i="28" l="1"/>
  <c r="S5" i="28" s="1"/>
  <c r="P5" i="28"/>
  <c r="AA6" i="28"/>
  <c r="AA5" i="28" s="1"/>
  <c r="B29" i="34" l="1"/>
  <c r="C29" i="34" l="1"/>
  <c r="C10" i="34" l="1"/>
  <c r="C16" i="34" l="1"/>
  <c r="D16" i="34" s="1"/>
  <c r="C17" i="34" l="1"/>
  <c r="D17" i="34" s="1"/>
  <c r="E16" i="34"/>
  <c r="G16" i="34" s="1"/>
  <c r="C20" i="34"/>
  <c r="C21" i="34"/>
  <c r="D21" i="34" s="1"/>
  <c r="C18" i="34"/>
  <c r="D18" i="34" s="1"/>
  <c r="C23" i="34"/>
  <c r="D23" i="34" s="1"/>
  <c r="C19" i="34"/>
  <c r="D19" i="34" s="1"/>
  <c r="C22" i="34"/>
  <c r="D22" i="34" s="1"/>
  <c r="D20" i="34" l="1"/>
  <c r="E20" i="34" s="1"/>
  <c r="E17" i="34"/>
  <c r="G17" i="34" s="1"/>
  <c r="E19" i="34"/>
  <c r="G19" i="34" s="1"/>
  <c r="E23" i="34"/>
  <c r="G23" i="34" s="1"/>
  <c r="E18" i="34"/>
  <c r="E22" i="34"/>
  <c r="G22" i="34" s="1"/>
  <c r="E21" i="34"/>
  <c r="G21" i="34" s="1"/>
  <c r="G20" i="34" l="1"/>
  <c r="G18" i="34"/>
  <c r="D24" i="34"/>
  <c r="D29" i="34" l="1"/>
  <c r="G24" i="34"/>
  <c r="E29" i="34" s="1"/>
  <c r="F29" i="34" l="1"/>
  <c r="C34" i="34" l="1"/>
  <c r="C36" i="34" s="1"/>
  <c r="C38" i="34" l="1"/>
</calcChain>
</file>

<file path=xl/sharedStrings.xml><?xml version="1.0" encoding="utf-8"?>
<sst xmlns="http://schemas.openxmlformats.org/spreadsheetml/2006/main" count="313" uniqueCount="272">
  <si>
    <t>ИТОГО</t>
  </si>
  <si>
    <t>№№</t>
  </si>
  <si>
    <t>К-нт преобраз. ФТ в РР</t>
  </si>
  <si>
    <t>Язык програм-мирования</t>
  </si>
  <si>
    <t>Размер ИС (РР), тыс. строк кода</t>
  </si>
  <si>
    <t>Коэффициенты трудоемкости</t>
  </si>
  <si>
    <t xml:space="preserve">Наименование должности </t>
  </si>
  <si>
    <t>Руководитель проекта</t>
  </si>
  <si>
    <t>Заместитель руководителя проекта</t>
  </si>
  <si>
    <t>Всего</t>
  </si>
  <si>
    <t>Общие расчетные трудозатраты, чел.-мес.</t>
  </si>
  <si>
    <t>№ п/п</t>
  </si>
  <si>
    <t xml:space="preserve">К-нт рентабельности </t>
  </si>
  <si>
    <t>К-нт доли з/п в себесто-имости</t>
  </si>
  <si>
    <t>К-нт пересчета в текущие цены</t>
  </si>
  <si>
    <t>Средняя выработка</t>
  </si>
  <si>
    <t>Расчет средней выработки в текущих ценах</t>
  </si>
  <si>
    <t>Определение коэффициента квалификации (участия) специалистов в разработке</t>
  </si>
  <si>
    <t>Стоимость работ без НДС (руб.)</t>
  </si>
  <si>
    <t>Расчет НМЦК</t>
  </si>
  <si>
    <t xml:space="preserve">Главный архитектор проекта, главный методолог, главный консультант, главный инженер проекта, главный научный сотрудник </t>
  </si>
  <si>
    <t xml:space="preserve">Ведущий архитектор, ведущий методолог, главный аналитик, главный разработчик, ведущий научный сотрудник  </t>
  </si>
  <si>
    <t>Руководитель группы, старший архитектор, старший методолог, старший научный сотрудник</t>
  </si>
  <si>
    <t xml:space="preserve">Архитектор, методолог, технический писатель, ведущий аналитик, ведущий разработчик, ведущий инженер, научный сотрудник  </t>
  </si>
  <si>
    <t xml:space="preserve">Старший аналитик, старший разработчик, старший инженер, администратор проекта, младший научный сотрудник  </t>
  </si>
  <si>
    <t xml:space="preserve">Аналитик, разработчик, инженер, эксперт-специалист </t>
  </si>
  <si>
    <t>Тестировщик, техник</t>
  </si>
  <si>
    <t xml:space="preserve"> -</t>
  </si>
  <si>
    <t>Заработная плата в базовых ценах 2015 года (руб.)</t>
  </si>
  <si>
    <t>Коэффициент определяется по ИС в целом</t>
  </si>
  <si>
    <t xml:space="preserve">Тип разрабатываемой ИС  </t>
  </si>
  <si>
    <t>отраслевая ИС</t>
  </si>
  <si>
    <t>общегородская ИС</t>
  </si>
  <si>
    <t xml:space="preserve">Значение отношения кол-во объектов предметной области/размер ИС  </t>
  </si>
  <si>
    <t>менее 10</t>
  </si>
  <si>
    <t>от 10 до 100</t>
  </si>
  <si>
    <t>свыше 100</t>
  </si>
  <si>
    <t>Количество интеграций</t>
  </si>
  <si>
    <t>от 10 до 20</t>
  </si>
  <si>
    <t>свыше 20</t>
  </si>
  <si>
    <t>Коэффициент определяется отдельно по каждой из подсистем ИС</t>
  </si>
  <si>
    <t xml:space="preserve">Класс разрабатываемой ИС  </t>
  </si>
  <si>
    <t>информационно-поисковая (реестр, регистр и др.)</t>
  </si>
  <si>
    <t>обеспечения деятельности ОИВ, портал, прочая</t>
  </si>
  <si>
    <t>информационно-аналитическая, управляющая</t>
  </si>
  <si>
    <t xml:space="preserve">Использование системой мобильных устройств  </t>
  </si>
  <si>
    <t>не</t>
  </si>
  <si>
    <t>предусматривается</t>
  </si>
  <si>
    <t xml:space="preserve">Выход обновления ОС либо СУБД   </t>
  </si>
  <si>
    <t>не чаще чем 1 раз в 12 месяцев</t>
  </si>
  <si>
    <t>от 1 раза в 12 месяцев до 1 раза в 6 месяцев</t>
  </si>
  <si>
    <t>чаще чем 1 раз в 6 месяцев</t>
  </si>
  <si>
    <t>Характер выполняемых работ</t>
  </si>
  <si>
    <t>развитие и/или модернизация</t>
  </si>
  <si>
    <t>подсистем действующей ИС</t>
  </si>
  <si>
    <t>создание новых</t>
  </si>
  <si>
    <t>критичная ИС</t>
  </si>
  <si>
    <t>создание новой</t>
  </si>
  <si>
    <t>ИС</t>
  </si>
  <si>
    <r>
      <t>1. Коэффициент трудоемкости «Требуемая надежность информационной системы» (МТ</t>
    </r>
    <r>
      <rPr>
        <b/>
        <vertAlign val="sub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</si>
  <si>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)</t>
    </r>
  </si>
  <si>
    <r>
      <t>2. Коэффициент трудоемкости «Размер тестовой базы данных</t>
    </r>
    <r>
      <rPr>
        <b/>
        <sz val="10"/>
        <color rgb="FF000000"/>
        <rFont val="Times New Roman"/>
        <family val="1"/>
        <charset val="204"/>
      </rPr>
      <t>»</t>
    </r>
    <r>
      <rPr>
        <b/>
        <sz val="10"/>
        <color theme="1"/>
        <rFont val="Times New Roman"/>
        <family val="1"/>
        <charset val="204"/>
      </rPr>
      <t xml:space="preserve"> (МТ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</si>
  <si>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</si>
  <si>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3. Коэффициент трудоемкости «Интеграции с внешними системами</t>
    </r>
    <r>
      <rPr>
        <b/>
        <sz val="10"/>
        <color rgb="FF000000"/>
        <rFont val="Times New Roman"/>
        <family val="1"/>
        <charset val="204"/>
      </rPr>
      <t>»</t>
    </r>
    <r>
      <rPr>
        <b/>
        <sz val="10"/>
        <color theme="1"/>
        <rFont val="Times New Roman"/>
        <family val="1"/>
        <charset val="204"/>
      </rPr>
      <t xml:space="preserve"> (МТ</t>
    </r>
    <r>
      <rPr>
        <b/>
        <vertAlign val="sub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</si>
  <si>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)</t>
    </r>
  </si>
  <si>
    <r>
      <t>4. Коэффициент трудоемкости «Сложность</t>
    </r>
    <r>
      <rPr>
        <b/>
        <sz val="10"/>
        <color rgb="FF000000"/>
        <rFont val="Times New Roman"/>
        <family val="1"/>
        <charset val="204"/>
      </rPr>
      <t xml:space="preserve"> информационной системы»</t>
    </r>
    <r>
      <rPr>
        <b/>
        <sz val="10"/>
        <color theme="1"/>
        <rFont val="Times New Roman"/>
        <family val="1"/>
        <charset val="204"/>
      </rPr>
      <t xml:space="preserve"> (МТ</t>
    </r>
    <r>
      <rPr>
        <b/>
        <vertAlign val="subscript"/>
        <sz val="10"/>
        <color theme="1"/>
        <rFont val="Times New Roman"/>
        <family val="1"/>
        <charset val="204"/>
      </rPr>
      <t>4</t>
    </r>
    <r>
      <rPr>
        <b/>
        <sz val="10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</si>
  <si>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)</t>
    </r>
  </si>
  <si>
    <r>
      <t>5. Коэффициент трудоемкости «Размещение компонент на мобильных устройствах» (МТ</t>
    </r>
    <r>
      <rPr>
        <b/>
        <vertAlign val="subscript"/>
        <sz val="10"/>
        <color theme="1"/>
        <rFont val="Times New Roman"/>
        <family val="1"/>
        <charset val="204"/>
      </rPr>
      <t>5</t>
    </r>
    <r>
      <rPr>
        <b/>
        <sz val="10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</si>
  <si>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)</t>
    </r>
  </si>
  <si>
    <r>
      <t>6. Коэффициент трудоемкости «Частота обновления</t>
    </r>
    <r>
      <rPr>
        <b/>
        <sz val="10"/>
        <color rgb="FF000000"/>
        <rFont val="Times New Roman"/>
        <family val="1"/>
        <charset val="204"/>
      </rPr>
      <t xml:space="preserve"> платформы</t>
    </r>
    <r>
      <rPr>
        <b/>
        <sz val="10"/>
        <color theme="1"/>
        <rFont val="Times New Roman"/>
        <family val="1"/>
        <charset val="204"/>
      </rPr>
      <t>» (МТ</t>
    </r>
    <r>
      <rPr>
        <b/>
        <vertAlign val="subscript"/>
        <sz val="10"/>
        <color theme="1"/>
        <rFont val="Times New Roman"/>
        <family val="1"/>
        <charset val="204"/>
      </rPr>
      <t>6</t>
    </r>
    <r>
      <rPr>
        <b/>
        <sz val="10"/>
        <color theme="1"/>
        <rFont val="Times New Roman"/>
        <family val="1"/>
        <charset val="204"/>
      </rPr>
      <t xml:space="preserve">) 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</si>
  <si>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)</t>
    </r>
  </si>
  <si>
    <r>
      <t>7. Коэффициент трудоемкости «Новизна информационной системы» (МТ</t>
    </r>
    <r>
      <rPr>
        <b/>
        <vertAlign val="subscript"/>
        <sz val="10"/>
        <color theme="1"/>
        <rFont val="Times New Roman"/>
        <family val="1"/>
        <charset val="204"/>
      </rPr>
      <t>7</t>
    </r>
    <r>
      <rPr>
        <b/>
        <sz val="10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</si>
  <si>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>)</t>
    </r>
  </si>
  <si>
    <r>
      <t>Срок выполнения работ (мес) Т</t>
    </r>
    <r>
      <rPr>
        <vertAlign val="subscript"/>
        <sz val="10"/>
        <color theme="1"/>
        <rFont val="Times New Roman"/>
        <family val="1"/>
        <charset val="204"/>
      </rPr>
      <t>п</t>
    </r>
  </si>
  <si>
    <r>
      <t>OT</t>
    </r>
    <r>
      <rPr>
        <vertAlign val="subscript"/>
        <sz val="10"/>
        <color theme="1"/>
        <rFont val="Times New Roman"/>
        <family val="1"/>
        <charset val="204"/>
      </rPr>
      <t>р</t>
    </r>
    <r>
      <rPr>
        <sz val="10"/>
        <color theme="1"/>
        <rFont val="Times New Roman"/>
        <family val="1"/>
        <charset val="204"/>
      </rPr>
      <t xml:space="preserve"> / Т</t>
    </r>
    <r>
      <rPr>
        <vertAlign val="subscript"/>
        <sz val="10"/>
        <color theme="1"/>
        <rFont val="Times New Roman"/>
        <family val="1"/>
        <charset val="204"/>
      </rPr>
      <t>п</t>
    </r>
  </si>
  <si>
    <r>
      <t>К-нт численности исполнителей (К</t>
    </r>
    <r>
      <rPr>
        <vertAlign val="subscript"/>
        <sz val="10"/>
        <color theme="1"/>
        <rFont val="Times New Roman"/>
        <family val="1"/>
        <charset val="204"/>
      </rPr>
      <t>чi</t>
    </r>
    <r>
      <rPr>
        <sz val="10"/>
        <color theme="1"/>
        <rFont val="Times New Roman"/>
        <family val="1"/>
        <charset val="204"/>
      </rPr>
      <t>)</t>
    </r>
  </si>
  <si>
    <r>
      <t>Численность исполнителей (чел) (Ч</t>
    </r>
    <r>
      <rPr>
        <vertAlign val="subscript"/>
        <sz val="10"/>
        <color theme="1"/>
        <rFont val="Times New Roman"/>
        <family val="1"/>
        <charset val="204"/>
      </rPr>
      <t>i</t>
    </r>
    <r>
      <rPr>
        <sz val="10"/>
        <color theme="1"/>
        <rFont val="Times New Roman"/>
        <family val="1"/>
        <charset val="204"/>
      </rPr>
      <t>)</t>
    </r>
  </si>
  <si>
    <r>
      <t>К-нт участия исполнителей в работах (К</t>
    </r>
    <r>
      <rPr>
        <vertAlign val="subscript"/>
        <sz val="10"/>
        <color theme="1"/>
        <rFont val="Times New Roman"/>
        <family val="1"/>
        <charset val="204"/>
      </rPr>
      <t>учi</t>
    </r>
    <r>
      <rPr>
        <sz val="10"/>
        <color theme="1"/>
        <rFont val="Times New Roman"/>
        <family val="1"/>
        <charset val="204"/>
      </rPr>
      <t>)</t>
    </r>
  </si>
  <si>
    <r>
      <t>Индекс среднемесячной з/п (И</t>
    </r>
    <r>
      <rPr>
        <vertAlign val="subscript"/>
        <sz val="10"/>
        <color theme="1"/>
        <rFont val="Times New Roman"/>
        <family val="1"/>
        <charset val="204"/>
      </rPr>
      <t>i</t>
    </r>
    <r>
      <rPr>
        <sz val="10"/>
        <color theme="1"/>
        <rFont val="Times New Roman"/>
        <family val="1"/>
        <charset val="204"/>
      </rPr>
      <t>)</t>
    </r>
  </si>
  <si>
    <r>
      <t>Коэффициент квалификации (участия) К</t>
    </r>
    <r>
      <rPr>
        <vertAlign val="subscript"/>
        <sz val="10"/>
        <color theme="1"/>
        <rFont val="Times New Roman"/>
        <family val="1"/>
        <charset val="204"/>
      </rPr>
      <t>кв(уч)</t>
    </r>
  </si>
  <si>
    <r>
      <t>Средняя выработка В</t>
    </r>
    <r>
      <rPr>
        <vertAlign val="subscript"/>
        <sz val="10"/>
        <color theme="1"/>
        <rFont val="Times New Roman"/>
        <family val="1"/>
        <charset val="204"/>
      </rPr>
      <t>ср</t>
    </r>
    <r>
      <rPr>
        <sz val="10"/>
        <color theme="1"/>
        <rFont val="Times New Roman"/>
        <family val="1"/>
        <charset val="204"/>
      </rPr>
      <t xml:space="preserve"> (руб.)</t>
    </r>
  </si>
  <si>
    <r>
      <t>Продолжитель-ность работы Т</t>
    </r>
    <r>
      <rPr>
        <vertAlign val="subscript"/>
        <sz val="10"/>
        <color theme="1"/>
        <rFont val="Times New Roman"/>
        <family val="1"/>
        <charset val="204"/>
      </rPr>
      <t>п</t>
    </r>
    <r>
      <rPr>
        <sz val="10"/>
        <color theme="1"/>
        <rFont val="Times New Roman"/>
        <family val="1"/>
        <charset val="204"/>
      </rPr>
      <t xml:space="preserve"> (мес)</t>
    </r>
  </si>
  <si>
    <r>
      <t>Численность исполнителей Ч</t>
    </r>
    <r>
      <rPr>
        <vertAlign val="subscript"/>
        <sz val="10"/>
        <color theme="1"/>
        <rFont val="Times New Roman"/>
        <family val="1"/>
        <charset val="204"/>
      </rPr>
      <t>п</t>
    </r>
    <r>
      <rPr>
        <sz val="10"/>
        <color theme="1"/>
        <rFont val="Times New Roman"/>
        <family val="1"/>
        <charset val="204"/>
      </rPr>
      <t xml:space="preserve"> (чел.)</t>
    </r>
  </si>
  <si>
    <t>Сроки в кал.дн.</t>
  </si>
  <si>
    <t>Язык высокого уровня</t>
  </si>
  <si>
    <r>
      <t>Количество функций обработки информации (Ф</t>
    </r>
    <r>
      <rPr>
        <b/>
        <vertAlign val="subscript"/>
        <sz val="10"/>
        <color theme="1"/>
        <rFont val="Times New Roman"/>
        <family val="1"/>
        <charset val="204"/>
      </rPr>
      <t>i</t>
    </r>
    <r>
      <rPr>
        <b/>
        <sz val="10"/>
        <color theme="1"/>
        <rFont val="Times New Roman"/>
        <family val="1"/>
        <charset val="204"/>
      </rPr>
      <t>)</t>
    </r>
  </si>
  <si>
    <r>
      <t>Количество функциональных точек (ФТ</t>
    </r>
    <r>
      <rPr>
        <b/>
        <vertAlign val="subscript"/>
        <sz val="10"/>
        <color theme="1"/>
        <rFont val="Times New Roman"/>
        <family val="1"/>
        <charset val="204"/>
      </rPr>
      <t>i</t>
    </r>
    <r>
      <rPr>
        <b/>
        <sz val="10"/>
        <color theme="1"/>
        <rFont val="Times New Roman"/>
        <family val="1"/>
        <charset val="204"/>
      </rPr>
      <t>)</t>
    </r>
  </si>
  <si>
    <r>
      <t>Ф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</si>
  <si>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r>
      <t>Ф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</si>
  <si>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b/>
        <vertAlign val="sub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</si>
  <si>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b/>
        <vertAlign val="subscript"/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</si>
  <si>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b/>
        <vertAlign val="subscript"/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</si>
  <si>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</si>
  <si>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r>
      <t>ФТ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</si>
  <si>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b/>
        <vertAlign val="sub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</si>
  <si>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b/>
        <vertAlign val="subscript"/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</si>
  <si>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b/>
        <vertAlign val="subscript"/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</si>
  <si>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</si>
  <si>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</si>
  <si>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</si>
  <si>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4</t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</si>
  <si>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5</t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</si>
  <si>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6</t>
    </r>
  </si>
  <si>
    <r>
      <t>МТ</t>
    </r>
    <r>
      <rPr>
        <b/>
        <vertAlign val="subscript"/>
        <sz val="10"/>
        <color theme="1"/>
        <rFont val="Times New Roman"/>
        <family val="1"/>
        <charset val="204"/>
      </rPr>
      <t>7</t>
    </r>
  </si>
  <si>
    <t>Наименование выполняемых работ/ подсистем ИС</t>
  </si>
  <si>
    <t>4.2.2.</t>
  </si>
  <si>
    <t>4.2.3.</t>
  </si>
  <si>
    <t>4.2.4.</t>
  </si>
  <si>
    <t>4.2.5.</t>
  </si>
  <si>
    <t>4.2.6.</t>
  </si>
  <si>
    <t xml:space="preserve">Выполнение работ по развитию информационной системы мониторинга и анализа интернет активности пользователей </t>
  </si>
  <si>
    <t>1.1.</t>
  </si>
  <si>
    <t>Модуль определения уникального интернет-посетителя без использования cookies</t>
  </si>
  <si>
    <t>функция получения специфичных настроек браузера и пользовательского устройства</t>
  </si>
  <si>
    <t>функция обработки полученных параметров и генерации уникального идентификатора</t>
  </si>
  <si>
    <t>функция присвоения уникального идентификатора интернет-посетителю</t>
  </si>
  <si>
    <t>1.2.</t>
  </si>
  <si>
    <t>Механизм фиксации переходов по внешним ссылкам</t>
  </si>
  <si>
    <t>функция получения информации о переходе интернет-посетителя по внешней ссылке</t>
  </si>
  <si>
    <t>1.3.</t>
  </si>
  <si>
    <t>Модуль загрузки данных из внешних информационных систем в формате csv, json, avro</t>
  </si>
  <si>
    <t>2.1.</t>
  </si>
  <si>
    <t>Модуль полнотекстового поиска</t>
  </si>
  <si>
    <t>2.2.</t>
  </si>
  <si>
    <t>Модуль сегментирования всех интернет-посетителей с учетом прогнозных значений поведения</t>
  </si>
  <si>
    <t>2.3.</t>
  </si>
  <si>
    <t>Модуль сопоставления интернет-посетителей по уникальному идентификатору, присвоенному механизмом генерации cookies и механизмом генерации по характеристикам устройства</t>
  </si>
  <si>
    <t>функция настройки частоты обновления данных о сопоставленных статистических идентификаторах</t>
  </si>
  <si>
    <t>2.4.</t>
  </si>
  <si>
    <t>Модуль сервиса коротких ссылок</t>
  </si>
  <si>
    <t>4.1.</t>
  </si>
  <si>
    <t>Раздел предоставления результатов кластеризации поисковых запросов с учетом поведения интернет-посетителя</t>
  </si>
  <si>
    <t>функция получения данных о кластеризации поисковых запросов</t>
  </si>
  <si>
    <t>функция визуализации результатов кластеризации поисковых запросов</t>
  </si>
  <si>
    <t>4.2.</t>
  </si>
  <si>
    <t>Раздел предоставления результатов сегментирования интернет-посетителей</t>
  </si>
  <si>
    <t>функция получения данных о сегментировании интернет-посетителей</t>
  </si>
  <si>
    <t>функция визуализации результатов сегментирования интернет-посетителей</t>
  </si>
  <si>
    <t>4.3.</t>
  </si>
  <si>
    <t>Раздел предоставления статистики по событиям, получаемым из внешних систем-источников в подсистему сбора данных</t>
  </si>
  <si>
    <t>функция получения статистических данных о событиях, получаемым из внешних систем-источников</t>
  </si>
  <si>
    <t>функция визуализации статистики по событиям</t>
  </si>
  <si>
    <t>4.4.</t>
  </si>
  <si>
    <t>Функционал конструирования собственных (кастомных) статистических отчетов</t>
  </si>
  <si>
    <t>функция настройки кастомного отчета по набору атрибутов на основании предрасчитанных срезов данных в интерактивном режиме</t>
  </si>
  <si>
    <t>функция сохранения настроек отчета и дополнительных опций</t>
  </si>
  <si>
    <t>4.5.</t>
  </si>
  <si>
    <t>Модуль управления интерфейсом</t>
  </si>
  <si>
    <t>функция создания, редактирования, удаления ситуационных панелей</t>
  </si>
  <si>
    <t>функция наполнения ситуационных панелей информационными блоками</t>
  </si>
  <si>
    <t>4.6.</t>
  </si>
  <si>
    <t>Модуль выгрузки статистических данных</t>
  </si>
  <si>
    <t>функция настройки выгружаемого статистического отчета</t>
  </si>
  <si>
    <t>5.1.</t>
  </si>
  <si>
    <t>Механизм предоставления агрегированной статистики внешним системам-потребителям переходов по внешним ссылкам</t>
  </si>
  <si>
    <t>функция настройки регулярности передачи данных внешним системам-потребителям</t>
  </si>
  <si>
    <t>5.2.</t>
  </si>
  <si>
    <t>Механизм предоставления агрегированной статистики внешним системам-потребителям переходов по внутренним ссылкам</t>
  </si>
  <si>
    <t>5.3.</t>
  </si>
  <si>
    <t>Механизм предоставления профилей внешним системам-потребителям по ключу cookie интернет-посетителя</t>
  </si>
  <si>
    <t>Подсистема сбора данных</t>
  </si>
  <si>
    <t>Подсистема обработки данных</t>
  </si>
  <si>
    <t>Подсистема хранения данных</t>
  </si>
  <si>
    <t>Подсистема статистики и мониторинга</t>
  </si>
  <si>
    <t>Подсистема предоставления данных</t>
  </si>
  <si>
    <t>ВЫПОЛНЕНИЕ РАБОТ ПО РАЗВИТИЮ ИНФОРМАЦИОННОЙ СИСТЕМЫ МОНИТОРИНГА И АНАЛИЗА ИНТЕРНЕТ АКТИВНОСТИ ПОЛЬЗОВАТЕЛЕЙ</t>
  </si>
  <si>
    <t>получение информации не менее, чем из 6 таблиц в базах данных с различным составом и типом данных;</t>
  </si>
  <si>
    <t>предоставление статистической информации по интернет-ресурсу по свободному вводу наименования ресурса;</t>
  </si>
  <si>
    <t>предоставление статистической информации по целевому действию обращения к поисковому сервису;</t>
  </si>
  <si>
    <t>предоставление статистики по страновой принадлежности интернет-соединения;</t>
  </si>
  <si>
    <t xml:space="preserve"> предоставление данных по любому доступному текстовому полю лога действия интернет-посетителя;</t>
  </si>
  <si>
    <t xml:space="preserve"> функция построения поведенческих групп интернет-посетителей при помощи не менее 3 внутренних и не менее 9 внешних справочников;</t>
  </si>
  <si>
    <t xml:space="preserve"> функция настройки частоты перестроения поведенческих групп;</t>
  </si>
  <si>
    <t xml:space="preserve"> функция сопоставления интернет-посетителей по уникальному идентификатору;</t>
  </si>
  <si>
    <t xml:space="preserve"> функция генерации коротких ссылок с учетом количества уникальных кампаний и не менее 2 каналов их использования;</t>
  </si>
  <si>
    <t xml:space="preserve"> хранение сопоставлений между целевыми и короткими ссылками</t>
  </si>
  <si>
    <t>функция взаимодействия со внешними ИС посредством не менее 5 протоколов и форматов передачи данных</t>
  </si>
  <si>
    <t>функция хранения не менее 6 новых справочников и иных источников данных в файловой системе с учетом возможного изменения их объема и формата хранения</t>
  </si>
  <si>
    <t>функция выгрузки отчета с использованием не менее 2 протоколов передачи данных</t>
  </si>
  <si>
    <t>функция трансляции не менее, чем 2 внешним системам-потребителям данных о переходах по внешним ссылкам посредством не менее 8 протоколов и форматов передачи данных</t>
  </si>
  <si>
    <t>функция трансляции не менее, чем 1 внешней системе-потребителю данных о переходах по внутренним ссылкам посредством не менее 8 протоколов и форматов передачи данных</t>
  </si>
  <si>
    <t>функция трансляции не менее, чем 2 внешним системам-потребителям данных о профилях интернет-посетителей посредством не менее 8 протоколов и форматов передачи данных</t>
  </si>
  <si>
    <t>п .ТЗ</t>
  </si>
  <si>
    <t>п.1.9. ТЗ</t>
  </si>
  <si>
    <t>4.2.7.</t>
  </si>
  <si>
    <t>функция сохранения порядка записи сообщений.</t>
  </si>
  <si>
    <t>функция буферизации очереди сообщений</t>
  </si>
  <si>
    <t>функционал формирования регулярных рассылок</t>
  </si>
  <si>
    <t>6.1.</t>
  </si>
  <si>
    <t xml:space="preserve">Механизмы идентификации и аутентификации субъектов доступа и объектов доступа </t>
  </si>
  <si>
    <t xml:space="preserve">аутентификация пользователя </t>
  </si>
  <si>
    <t>блокирование идентификатора пользователя через период времени неиспользования</t>
  </si>
  <si>
    <t xml:space="preserve">управление средствами аутентификации (аутентификационной информацией) пользователей </t>
  </si>
  <si>
    <t>6.2.</t>
  </si>
  <si>
    <t>Механизм управление доступом субъектов доступа к объектам доступа ППО</t>
  </si>
  <si>
    <t>разделение полномочий (ролей) пользователей, администраторов и лиц, обеспечивающих функционирование информационной системы</t>
  </si>
  <si>
    <t>разделение полномочий (ролей) пользователей, администраторов и лиц, обеспечивающих функционирование информационной системы, в соответствии с их должностными обязанностями (функциями)</t>
  </si>
  <si>
    <t>принцип назначения минимально необходимых прав и привилегий пользователям, администраторам и лицам, обеспечивающим функционирование информационной системы</t>
  </si>
  <si>
    <t xml:space="preserve">ограничение количества неуспешных попыток входа в информационную систему (доступа к информационной системе) </t>
  </si>
  <si>
    <t>6.3.</t>
  </si>
  <si>
    <t>Механизм регистрации событий безопасности ППО</t>
  </si>
  <si>
    <t>доступны для просмотра из графического интерфейса администратор</t>
  </si>
  <si>
    <t>мониторинг (просмотр и анализ) записей регистрации (аудита)</t>
  </si>
  <si>
    <t>защита информации о событиях безопасности (записях регистрации (аудита)) обеспечивается применением мер защиты информации от неправомерного доступа, уничтожения или модифицирования, и в том числе включает защиту средств ведения регистрации (аудита) и настроек механизмов регистрации событий</t>
  </si>
  <si>
    <t>6.4.</t>
  </si>
  <si>
    <t>Механизм контроля (анализа) защищенности ППО</t>
  </si>
  <si>
    <t>контроль правил генерации и смены паролей пользователей</t>
  </si>
  <si>
    <t>контроль заведения и удаления учетных записей пользователей;</t>
  </si>
  <si>
    <t>контроль реализации правил разграничения доступом;</t>
  </si>
  <si>
    <t>контроль реализации полномочий пользователей.</t>
  </si>
  <si>
    <t>Начальник отдела защиты информации (Руководитель проекта)</t>
  </si>
  <si>
    <t>Этап 6. Подготовка к сертификации и сертификация ППО ИС СТАТС по требованиям безопасности информации</t>
  </si>
  <si>
    <t>Этап 7. Аттестация ИС СТАТС по требованиям безопасности информации</t>
  </si>
  <si>
    <t>Этап 5. Разработка организационно-распорядительной документации на СЗИ ИС СТАТС</t>
  </si>
  <si>
    <t>5э</t>
  </si>
  <si>
    <t>6э</t>
  </si>
  <si>
    <t>7э</t>
  </si>
  <si>
    <t>кд</t>
  </si>
  <si>
    <t>рд</t>
  </si>
  <si>
    <t>этапы</t>
  </si>
  <si>
    <t>№ пп</t>
  </si>
  <si>
    <t>Коэффициент квалификации (участия), Ккв(уч)</t>
  </si>
  <si>
    <t>ВСЕГО:</t>
  </si>
  <si>
    <t>Итого</t>
  </si>
  <si>
    <t>Ведущий Специалист отдела защиты информации</t>
  </si>
  <si>
    <t>Специалист отдела контроля качества (1 категории)</t>
  </si>
  <si>
    <t>Ведущий Технический писатель</t>
  </si>
  <si>
    <t>Ведущий Аналитик</t>
  </si>
  <si>
    <t>Ведущий Разработчик</t>
  </si>
  <si>
    <t>Подсистема информационной безопасности</t>
  </si>
  <si>
    <t>Наименование выполняемых работ /подсистем ИС</t>
  </si>
  <si>
    <r>
      <t>Количество функций обработки информации (Ф</t>
    </r>
    <r>
      <rPr>
        <b/>
        <vertAlign val="subscript"/>
        <sz val="9"/>
        <color theme="1"/>
        <rFont val="Times New Roman"/>
        <family val="1"/>
        <charset val="204"/>
      </rPr>
      <t>i</t>
    </r>
    <r>
      <rPr>
        <b/>
        <sz val="9"/>
        <color theme="1"/>
        <rFont val="Times New Roman"/>
        <family val="1"/>
        <charset val="204"/>
      </rPr>
      <t>)</t>
    </r>
  </si>
  <si>
    <r>
      <t>Ф</t>
    </r>
    <r>
      <rPr>
        <b/>
        <vertAlign val="subscript"/>
        <sz val="9"/>
        <color theme="1"/>
        <rFont val="Times New Roman"/>
        <family val="1"/>
        <charset val="204"/>
      </rPr>
      <t>1</t>
    </r>
  </si>
  <si>
    <r>
      <t>Ф</t>
    </r>
    <r>
      <rPr>
        <b/>
        <vertAlign val="subscript"/>
        <sz val="9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</si>
  <si>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b/>
        <vertAlign val="subscript"/>
        <sz val="9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</si>
  <si>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b/>
        <vertAlign val="subscript"/>
        <sz val="9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</si>
  <si>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b/>
        <vertAlign val="subscript"/>
        <sz val="9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</si>
  <si>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срок по 6 этапу 270кд, из них ориентировочно 30 кд на работы исполнителя</t>
  </si>
  <si>
    <t>Наименование должностей исполнителей (наименование должности по МРР)</t>
  </si>
  <si>
    <r>
      <t xml:space="preserve">Фактическое время участия исполнителя в работе, </t>
    </r>
    <r>
      <rPr>
        <b/>
        <sz val="8"/>
        <color rgb="FF000000"/>
        <rFont val="Times New Roman"/>
        <family val="1"/>
        <charset val="204"/>
      </rPr>
      <t>Тф</t>
    </r>
    <r>
      <rPr>
        <sz val="8"/>
        <color rgb="FF000000"/>
        <rFont val="Times New Roman"/>
        <family val="1"/>
        <charset val="204"/>
      </rPr>
      <t xml:space="preserve"> (день)</t>
    </r>
  </si>
  <si>
    <r>
      <t xml:space="preserve">Плановая продолжительность выполнения работы, </t>
    </r>
    <r>
      <rPr>
        <b/>
        <sz val="8"/>
        <color rgb="FF000000"/>
        <rFont val="Times New Roman"/>
        <family val="1"/>
        <charset val="204"/>
      </rPr>
      <t>Тп</t>
    </r>
    <r>
      <rPr>
        <sz val="8"/>
        <color rgb="FF000000"/>
        <rFont val="Times New Roman"/>
        <family val="1"/>
        <charset val="204"/>
      </rPr>
      <t xml:space="preserve"> (день)</t>
    </r>
  </si>
  <si>
    <r>
      <t xml:space="preserve">Численность исполнителей одной квалификации, </t>
    </r>
    <r>
      <rPr>
        <b/>
        <sz val="8"/>
        <color rgb="FF000000"/>
        <rFont val="Times New Roman"/>
        <family val="1"/>
        <charset val="204"/>
      </rPr>
      <t>Чi</t>
    </r>
    <r>
      <rPr>
        <sz val="8"/>
        <color rgb="FF000000"/>
        <rFont val="Times New Roman"/>
        <family val="1"/>
        <charset val="204"/>
      </rPr>
      <t xml:space="preserve"> чел.</t>
    </r>
  </si>
  <si>
    <r>
      <t xml:space="preserve">Индекс уровня заработной платы специалистов-исполнителей работы </t>
    </r>
    <r>
      <rPr>
        <b/>
        <sz val="8"/>
        <color rgb="FF000000"/>
        <rFont val="Times New Roman"/>
        <family val="1"/>
        <charset val="204"/>
      </rPr>
      <t>Иi</t>
    </r>
  </si>
  <si>
    <r>
      <t xml:space="preserve">Коэффициент квалификации (участия) специалистов </t>
    </r>
    <r>
      <rPr>
        <b/>
        <sz val="8"/>
        <color rgb="FF000000"/>
        <rFont val="Times New Roman"/>
        <family val="1"/>
        <charset val="204"/>
      </rPr>
      <t>Ккв(уч)</t>
    </r>
  </si>
  <si>
    <t>№п/п</t>
  </si>
  <si>
    <t>Среднемесячная нормативная заработная плата исполнителей ЗПср, руб.</t>
  </si>
  <si>
    <t>Кол-во рабочих дней в месяце (дни)</t>
  </si>
  <si>
    <t>Среднедневная зарплата исполнителей (гр.2/гр.3) (руб.)</t>
  </si>
  <si>
    <t>Удельный вес зарплаты в себестоимости работ Кз, (40%)</t>
  </si>
  <si>
    <t>Рентабельность, Р (10%)</t>
  </si>
  <si>
    <t>Среднедневная единичная выработка Вср, (гр.4х(1+гр.6))/гр.5 (руб.)</t>
  </si>
  <si>
    <t>Продолжительность услуги Тп (дни)</t>
  </si>
  <si>
    <t>Численность исполнителей Чп (чел.)</t>
  </si>
  <si>
    <t>Коэф-т квалификации участия Ккв (уч)</t>
  </si>
  <si>
    <t>Базовая цена Цб (руб.)</t>
  </si>
  <si>
    <t>Стоимость единицы услуги, руб. с НДС</t>
  </si>
  <si>
    <t>Коэффициент пересчета базовой стоимости в уровень цен на III квартал 2018 года</t>
  </si>
  <si>
    <t>Стоимость единицы услуги в ценах III кв.2018 года, руб. без НДС</t>
  </si>
  <si>
    <t>Выполнение работ по развитию информационной системы мониторинга и анализа интернет активности пользователей</t>
  </si>
  <si>
    <t>Итоговый расчет</t>
  </si>
  <si>
    <t>Наименование работ</t>
  </si>
  <si>
    <t xml:space="preserve">Выполнение работ по развитию информационной системы </t>
  </si>
  <si>
    <t>Выполнение работ по обеспечению информационной безопасности</t>
  </si>
  <si>
    <t>Сумма, руб. без НДС</t>
  </si>
  <si>
    <t>в 2019 году</t>
  </si>
  <si>
    <t xml:space="preserve">в 2018 году </t>
  </si>
  <si>
    <t>Итого:</t>
  </si>
  <si>
    <t>Таким образом, расчётная начальная (максимальная) цена контракта на выполнение работ по развитию информационной системы мониторинга и анализа интернет активности пользователей составит 58 730 948,05 руб. (пятьдесят восемь миллионов семьсот тридцать тысяч девятьсот сорок восемь рублей 05 копеек), в т.ч. НДС.</t>
  </si>
  <si>
    <t>Сумма, руб. с НДС</t>
  </si>
  <si>
    <t>в том числе:</t>
  </si>
  <si>
    <r>
      <t xml:space="preserve">С учетом лимита финансирования данного проекта в размере 52 952 000, 00руб. начальная (максимальная) цена контракта на выполнение работ по развитию информационной системы мониторинга и анализа интернет активности пользователей принимается равной </t>
    </r>
    <r>
      <rPr>
        <b/>
        <sz val="10"/>
        <color theme="1"/>
        <rFont val="Times New Roman"/>
        <family val="1"/>
        <charset val="204"/>
      </rPr>
      <t>52 952 000,00 руб. (пятьдесят два миллиона девятьсот пятьдесят две тысячи рублей 00 копеек</t>
    </r>
    <r>
      <rPr>
        <sz val="10"/>
        <color theme="1"/>
        <rFont val="Times New Roman"/>
        <family val="1"/>
        <charset val="204"/>
      </rPr>
      <t>), в т.ч. НДС 8 698 188,70 (восемь миллионов шестьсот девяносто восемь тысяч сто восемьдесят восемь рублей 70 копеек):
в 2018 году - 9 001 840,00 руб., в том числе НДС 18% -1 373 162,03 руб.;
в 2019 году - 41 302 560,00 руб., в том числе НДС 20% - 6 883 760,00 руб.
в 2020 году - 2 647 600,00 руб., в том числе НДС 20% - 441 266,67 руб.</t>
    </r>
  </si>
  <si>
    <t>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</si>
</sst>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00"/>
    <numFmt numFmtId="165" formatCode="0.0"/>
    <numFmt numFmtId="166" formatCode="#,##0.000"/>
    <numFmt numFmtId="167" formatCode="_-* #,##0.00\ _₽_-;\-* #,##0.00\ _₽_-;_-* &quot;-&quot;\ _₽_-;_-@_-"/>
    <numFmt numFmtId="168" formatCode="0.000%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61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i/>
      <sz val="8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i/>
      <sz val="8"/>
      <color rgb="FF7030A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bscript"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/>
    <xf numFmtId="0" fontId="4" fillId="0" borderId="0"/>
    <xf numFmtId="0" fontId="24" fillId="0" borderId="0" applyNumberFormat="0" applyFill="0" applyBorder="0" applyAlignment="0" applyProtection="0"/>
  </cellStyleXfs>
  <cellXfs count="306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5" fontId="12" fillId="0" borderId="0" xfId="0" applyNumberFormat="1" applyFont="1" applyFill="1"/>
    <xf numFmtId="0" fontId="12" fillId="0" borderId="0" xfId="0" applyFont="1" applyFill="1"/>
    <xf numFmtId="0" fontId="5" fillId="0" borderId="18" xfId="0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vertical="top" wrapText="1"/>
    </xf>
    <xf numFmtId="166" fontId="5" fillId="9" borderId="11" xfId="0" applyNumberFormat="1" applyFont="1" applyFill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4" fontId="5" fillId="6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8" fillId="0" borderId="0" xfId="0" applyFont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2" fontId="17" fillId="0" borderId="1" xfId="3" applyNumberFormat="1" applyFont="1" applyFill="1" applyBorder="1" applyAlignment="1">
      <alignment horizontal="center" vertical="top" wrapText="1"/>
    </xf>
    <xf numFmtId="2" fontId="17" fillId="0" borderId="1" xfId="1" applyNumberFormat="1" applyFont="1" applyFill="1" applyBorder="1" applyAlignment="1">
      <alignment horizontal="center" vertical="top" wrapText="1"/>
    </xf>
    <xf numFmtId="2" fontId="17" fillId="0" borderId="1" xfId="1" applyNumberFormat="1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164" fontId="6" fillId="0" borderId="3" xfId="0" applyNumberFormat="1" applyFont="1" applyBorder="1" applyAlignment="1">
      <alignment vertical="top"/>
    </xf>
    <xf numFmtId="0" fontId="6" fillId="0" borderId="0" xfId="0" applyFont="1" applyFill="1"/>
    <xf numFmtId="0" fontId="5" fillId="0" borderId="0" xfId="0" applyFont="1" applyFill="1"/>
    <xf numFmtId="3" fontId="16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indent="3"/>
    </xf>
    <xf numFmtId="0" fontId="5" fillId="0" borderId="22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3" fontId="6" fillId="0" borderId="3" xfId="0" applyNumberFormat="1" applyFont="1" applyFill="1" applyBorder="1" applyAlignment="1">
      <alignment horizontal="center" vertical="top"/>
    </xf>
    <xf numFmtId="3" fontId="6" fillId="0" borderId="6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6" fillId="0" borderId="3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/>
    </xf>
    <xf numFmtId="2" fontId="17" fillId="0" borderId="5" xfId="3" applyNumberFormat="1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vertical="top"/>
    </xf>
    <xf numFmtId="4" fontId="6" fillId="0" borderId="25" xfId="0" applyNumberFormat="1" applyFont="1" applyFill="1" applyBorder="1" applyAlignment="1">
      <alignment horizontal="center" vertical="top"/>
    </xf>
    <xf numFmtId="4" fontId="6" fillId="0" borderId="26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14" fillId="0" borderId="28" xfId="0" applyFont="1" applyBorder="1" applyAlignment="1">
      <alignment horizontal="left" vertical="center" wrapText="1"/>
    </xf>
    <xf numFmtId="3" fontId="17" fillId="0" borderId="29" xfId="0" applyNumberFormat="1" applyFont="1" applyFill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top"/>
    </xf>
    <xf numFmtId="1" fontId="5" fillId="0" borderId="31" xfId="0" applyNumberFormat="1" applyFont="1" applyFill="1" applyBorder="1" applyAlignment="1">
      <alignment horizontal="center" vertical="top"/>
    </xf>
    <xf numFmtId="1" fontId="5" fillId="0" borderId="28" xfId="0" applyNumberFormat="1" applyFont="1" applyFill="1" applyBorder="1" applyAlignment="1">
      <alignment horizontal="center" vertical="top"/>
    </xf>
    <xf numFmtId="1" fontId="6" fillId="0" borderId="30" xfId="0" applyNumberFormat="1" applyFont="1" applyFill="1" applyBorder="1" applyAlignment="1">
      <alignment horizontal="center" vertical="top"/>
    </xf>
    <xf numFmtId="1" fontId="5" fillId="0" borderId="31" xfId="0" applyNumberFormat="1" applyFont="1" applyFill="1" applyBorder="1" applyAlignment="1">
      <alignment horizontal="center" vertical="top" wrapText="1"/>
    </xf>
    <xf numFmtId="1" fontId="5" fillId="0" borderId="30" xfId="0" applyNumberFormat="1" applyFont="1" applyFill="1" applyBorder="1" applyAlignment="1">
      <alignment horizontal="center" vertical="top"/>
    </xf>
    <xf numFmtId="4" fontId="6" fillId="0" borderId="32" xfId="0" applyNumberFormat="1" applyFont="1" applyFill="1" applyBorder="1" applyAlignment="1">
      <alignment horizontal="center" vertical="top"/>
    </xf>
    <xf numFmtId="2" fontId="17" fillId="0" borderId="31" xfId="3" applyNumberFormat="1" applyFont="1" applyFill="1" applyBorder="1" applyAlignment="1">
      <alignment horizontal="center" vertical="top" wrapText="1"/>
    </xf>
    <xf numFmtId="2" fontId="17" fillId="0" borderId="28" xfId="3" applyNumberFormat="1" applyFont="1" applyFill="1" applyBorder="1" applyAlignment="1">
      <alignment horizontal="center" vertical="top" wrapText="1"/>
    </xf>
    <xf numFmtId="2" fontId="17" fillId="0" borderId="28" xfId="2" applyNumberFormat="1" applyFont="1" applyFill="1" applyBorder="1" applyAlignment="1">
      <alignment horizontal="center" vertical="top" wrapText="1"/>
    </xf>
    <xf numFmtId="2" fontId="17" fillId="0" borderId="28" xfId="1" applyNumberFormat="1" applyFont="1" applyFill="1" applyBorder="1" applyAlignment="1">
      <alignment horizontal="center" vertical="top"/>
    </xf>
    <xf numFmtId="164" fontId="6" fillId="0" borderId="30" xfId="0" applyNumberFormat="1" applyFont="1" applyBorder="1" applyAlignment="1">
      <alignment vertical="top"/>
    </xf>
    <xf numFmtId="3" fontId="6" fillId="2" borderId="36" xfId="0" applyNumberFormat="1" applyFont="1" applyFill="1" applyBorder="1" applyAlignment="1">
      <alignment horizontal="center" vertical="top"/>
    </xf>
    <xf numFmtId="4" fontId="6" fillId="2" borderId="13" xfId="0" applyNumberFormat="1" applyFont="1" applyFill="1" applyBorder="1" applyAlignment="1">
      <alignment horizontal="center" vertical="top"/>
    </xf>
    <xf numFmtId="166" fontId="6" fillId="2" borderId="36" xfId="0" applyNumberFormat="1" applyFont="1" applyFill="1" applyBorder="1" applyAlignment="1">
      <alignment horizontal="right" vertical="top"/>
    </xf>
    <xf numFmtId="0" fontId="20" fillId="2" borderId="33" xfId="1" applyFont="1" applyFill="1" applyBorder="1" applyAlignment="1">
      <alignment horizontal="center" vertical="top"/>
    </xf>
    <xf numFmtId="3" fontId="6" fillId="2" borderId="35" xfId="0" applyNumberFormat="1" applyFont="1" applyFill="1" applyBorder="1" applyAlignment="1">
      <alignment horizontal="center" vertical="top"/>
    </xf>
    <xf numFmtId="3" fontId="6" fillId="2" borderId="33" xfId="0" applyNumberFormat="1" applyFont="1" applyFill="1" applyBorder="1" applyAlignment="1">
      <alignment horizontal="center" vertical="top"/>
    </xf>
    <xf numFmtId="0" fontId="6" fillId="2" borderId="33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/>
    </xf>
    <xf numFmtId="4" fontId="19" fillId="0" borderId="33" xfId="3" applyNumberFormat="1" applyFont="1" applyFill="1" applyBorder="1" applyAlignment="1">
      <alignment horizontal="center" vertical="top"/>
    </xf>
    <xf numFmtId="4" fontId="19" fillId="0" borderId="35" xfId="2" applyNumberFormat="1" applyFont="1" applyFill="1" applyBorder="1" applyAlignment="1">
      <alignment horizontal="center" vertical="top"/>
    </xf>
    <xf numFmtId="4" fontId="19" fillId="0" borderId="35" xfId="1" applyNumberFormat="1" applyFont="1" applyFill="1" applyBorder="1" applyAlignment="1">
      <alignment horizontal="center" vertical="top" wrapText="1"/>
    </xf>
    <xf numFmtId="4" fontId="19" fillId="0" borderId="35" xfId="1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10" borderId="11" xfId="0" applyFont="1" applyFill="1" applyBorder="1" applyAlignment="1">
      <alignment horizontal="center" vertical="top"/>
    </xf>
    <xf numFmtId="0" fontId="6" fillId="10" borderId="6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3" fillId="0" borderId="0" xfId="0" applyFont="1" applyFill="1"/>
    <xf numFmtId="0" fontId="22" fillId="0" borderId="34" xfId="0" applyFont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24" fillId="0" borderId="0" xfId="6" applyFill="1"/>
    <xf numFmtId="3" fontId="22" fillId="12" borderId="1" xfId="0" applyNumberFormat="1" applyFont="1" applyFill="1" applyBorder="1" applyAlignment="1">
      <alignment horizontal="left" vertical="center" wrapText="1"/>
    </xf>
    <xf numFmtId="3" fontId="25" fillId="12" borderId="1" xfId="0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left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16" fontId="21" fillId="2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27" fillId="2" borderId="1" xfId="0" applyNumberFormat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top"/>
    </xf>
    <xf numFmtId="0" fontId="14" fillId="0" borderId="40" xfId="0" applyFont="1" applyBorder="1" applyAlignment="1">
      <alignment horizontal="left" vertical="center" wrapText="1"/>
    </xf>
    <xf numFmtId="3" fontId="17" fillId="0" borderId="41" xfId="0" applyNumberFormat="1" applyFont="1" applyFill="1" applyBorder="1" applyAlignment="1">
      <alignment horizontal="center" vertical="center"/>
    </xf>
    <xf numFmtId="3" fontId="17" fillId="0" borderId="40" xfId="0" applyNumberFormat="1" applyFont="1" applyFill="1" applyBorder="1" applyAlignment="1">
      <alignment horizontal="center" vertical="center"/>
    </xf>
    <xf numFmtId="2" fontId="17" fillId="0" borderId="23" xfId="3" applyNumberFormat="1" applyFont="1" applyFill="1" applyBorder="1" applyAlignment="1">
      <alignment horizontal="center" vertical="top" wrapText="1"/>
    </xf>
    <xf numFmtId="2" fontId="17" fillId="0" borderId="40" xfId="3" applyNumberFormat="1" applyFont="1" applyFill="1" applyBorder="1" applyAlignment="1">
      <alignment horizontal="center" vertical="top" wrapText="1"/>
    </xf>
    <xf numFmtId="2" fontId="17" fillId="0" borderId="40" xfId="1" applyNumberFormat="1" applyFont="1" applyFill="1" applyBorder="1" applyAlignment="1">
      <alignment horizontal="center" vertical="top" wrapText="1"/>
    </xf>
    <xf numFmtId="2" fontId="17" fillId="0" borderId="40" xfId="1" applyNumberFormat="1" applyFont="1" applyFill="1" applyBorder="1" applyAlignment="1">
      <alignment horizontal="center" vertical="top"/>
    </xf>
    <xf numFmtId="2" fontId="17" fillId="0" borderId="1" xfId="2" applyNumberFormat="1" applyFont="1" applyFill="1" applyBorder="1" applyAlignment="1">
      <alignment horizontal="center" vertical="top" wrapText="1"/>
    </xf>
    <xf numFmtId="3" fontId="5" fillId="8" borderId="0" xfId="0" applyNumberFormat="1" applyFont="1" applyFill="1" applyBorder="1" applyAlignment="1">
      <alignment vertical="top" wrapText="1"/>
    </xf>
    <xf numFmtId="3" fontId="27" fillId="2" borderId="0" xfId="0" applyNumberFormat="1" applyFont="1" applyFill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vertical="center" wrapText="1"/>
    </xf>
    <xf numFmtId="3" fontId="22" fillId="10" borderId="2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0" fillId="2" borderId="0" xfId="1" applyFont="1" applyFill="1" applyBorder="1" applyAlignment="1">
      <alignment horizontal="center" vertical="top"/>
    </xf>
    <xf numFmtId="2" fontId="5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35" fillId="0" borderId="0" xfId="0" applyFont="1" applyAlignment="1">
      <alignment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44" xfId="0" applyFont="1" applyBorder="1" applyAlignment="1">
      <alignment horizontal="center" vertical="top" wrapText="1"/>
    </xf>
    <xf numFmtId="0" fontId="34" fillId="0" borderId="37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66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horizontal="center" vertical="top" wrapText="1"/>
    </xf>
    <xf numFmtId="168" fontId="16" fillId="0" borderId="0" xfId="0" applyNumberFormat="1" applyFont="1" applyAlignment="1">
      <alignment horizontal="center" vertical="top" wrapText="1"/>
    </xf>
    <xf numFmtId="168" fontId="15" fillId="0" borderId="0" xfId="0" applyNumberFormat="1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166" fontId="15" fillId="10" borderId="28" xfId="0" applyNumberFormat="1" applyFont="1" applyFill="1" applyBorder="1" applyAlignment="1">
      <alignment horizontal="right" vertical="top" wrapText="1"/>
    </xf>
    <xf numFmtId="4" fontId="15" fillId="10" borderId="28" xfId="0" applyNumberFormat="1" applyFont="1" applyFill="1" applyBorder="1" applyAlignment="1">
      <alignment horizontal="right" vertical="top" wrapText="1"/>
    </xf>
    <xf numFmtId="166" fontId="15" fillId="0" borderId="45" xfId="0" applyNumberFormat="1" applyFont="1" applyFill="1" applyBorder="1" applyAlignment="1">
      <alignment horizontal="right" vertical="top" wrapText="1"/>
    </xf>
    <xf numFmtId="4" fontId="36" fillId="0" borderId="45" xfId="0" applyNumberFormat="1" applyFont="1" applyFill="1" applyBorder="1" applyAlignment="1">
      <alignment vertical="top" wrapText="1"/>
    </xf>
    <xf numFmtId="4" fontId="15" fillId="0" borderId="45" xfId="0" applyNumberFormat="1" applyFont="1" applyFill="1" applyBorder="1" applyAlignment="1">
      <alignment vertical="top" wrapText="1"/>
    </xf>
    <xf numFmtId="4" fontId="33" fillId="0" borderId="0" xfId="0" applyNumberFormat="1" applyFont="1" applyAlignment="1">
      <alignment horizontal="center" vertical="top" wrapText="1"/>
    </xf>
    <xf numFmtId="0" fontId="37" fillId="0" borderId="0" xfId="0" applyFont="1" applyFill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4" fontId="36" fillId="0" borderId="0" xfId="0" applyNumberFormat="1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vertical="top" wrapText="1"/>
    </xf>
    <xf numFmtId="4" fontId="16" fillId="0" borderId="0" xfId="0" applyNumberFormat="1" applyFont="1" applyAlignment="1">
      <alignment vertical="top" wrapText="1"/>
    </xf>
    <xf numFmtId="0" fontId="16" fillId="0" borderId="4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2" borderId="1" xfId="5" applyFont="1" applyFill="1" applyBorder="1" applyAlignment="1">
      <alignment horizontal="center" vertical="center" wrapText="1"/>
    </xf>
    <xf numFmtId="2" fontId="32" fillId="2" borderId="1" xfId="5" applyNumberFormat="1" applyFont="1" applyFill="1" applyBorder="1" applyAlignment="1">
      <alignment horizontal="center" vertical="center" wrapText="1"/>
    </xf>
    <xf numFmtId="166" fontId="32" fillId="0" borderId="21" xfId="0" applyNumberFormat="1" applyFont="1" applyFill="1" applyBorder="1" applyAlignment="1">
      <alignment vertical="top" wrapText="1"/>
    </xf>
    <xf numFmtId="10" fontId="16" fillId="0" borderId="0" xfId="0" applyNumberFormat="1" applyFont="1" applyFill="1" applyBorder="1" applyAlignment="1">
      <alignment vertical="top" wrapText="1"/>
    </xf>
    <xf numFmtId="10" fontId="38" fillId="0" borderId="0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left" vertical="top" wrapText="1"/>
    </xf>
    <xf numFmtId="0" fontId="39" fillId="0" borderId="28" xfId="0" applyFont="1" applyBorder="1" applyAlignment="1">
      <alignment vertical="top" wrapText="1"/>
    </xf>
    <xf numFmtId="4" fontId="40" fillId="0" borderId="28" xfId="0" applyNumberFormat="1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166" fontId="30" fillId="0" borderId="21" xfId="0" applyNumberFormat="1" applyFont="1" applyBorder="1" applyAlignment="1">
      <alignment horizontal="center" vertical="top" wrapText="1"/>
    </xf>
    <xf numFmtId="4" fontId="15" fillId="0" borderId="46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wrapText="1"/>
    </xf>
    <xf numFmtId="0" fontId="16" fillId="0" borderId="47" xfId="0" applyFont="1" applyFill="1" applyBorder="1" applyAlignment="1">
      <alignment vertical="top" wrapText="1"/>
    </xf>
    <xf numFmtId="0" fontId="31" fillId="0" borderId="47" xfId="5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22" fillId="11" borderId="11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right" vertical="top" wrapText="1"/>
    </xf>
    <xf numFmtId="0" fontId="16" fillId="2" borderId="37" xfId="5" applyFont="1" applyFill="1" applyBorder="1" applyAlignment="1">
      <alignment horizontal="center" vertical="center" wrapText="1"/>
    </xf>
    <xf numFmtId="0" fontId="16" fillId="2" borderId="42" xfId="5" applyFont="1" applyFill="1" applyBorder="1" applyAlignment="1">
      <alignment horizontal="center" vertical="center" wrapText="1"/>
    </xf>
    <xf numFmtId="0" fontId="16" fillId="2" borderId="28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3" fontId="26" fillId="0" borderId="3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top" wrapText="1"/>
    </xf>
    <xf numFmtId="0" fontId="32" fillId="0" borderId="46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4" fontId="15" fillId="0" borderId="46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4" fontId="32" fillId="0" borderId="0" xfId="0" applyNumberFormat="1" applyFont="1" applyFill="1" applyBorder="1" applyAlignment="1">
      <alignment vertical="top" wrapText="1"/>
    </xf>
    <xf numFmtId="0" fontId="31" fillId="13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top" wrapText="1"/>
    </xf>
    <xf numFmtId="0" fontId="16" fillId="1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" fontId="17" fillId="0" borderId="40" xfId="2" applyNumberFormat="1" applyFont="1" applyFill="1" applyBorder="1" applyAlignment="1">
      <alignment horizontal="center" vertical="top" wrapText="1"/>
    </xf>
    <xf numFmtId="3" fontId="21" fillId="0" borderId="37" xfId="0" applyNumberFormat="1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27" fillId="0" borderId="1" xfId="0" applyNumberFormat="1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top" wrapText="1"/>
    </xf>
    <xf numFmtId="3" fontId="8" fillId="0" borderId="0" xfId="0" applyNumberFormat="1" applyFont="1" applyFill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0" fontId="42" fillId="0" borderId="0" xfId="0" applyFont="1" applyAlignment="1">
      <alignment vertical="top"/>
    </xf>
    <xf numFmtId="0" fontId="22" fillId="0" borderId="1" xfId="0" applyFont="1" applyBorder="1" applyAlignment="1">
      <alignment vertical="top"/>
    </xf>
    <xf numFmtId="0" fontId="4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top"/>
    </xf>
    <xf numFmtId="167" fontId="22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center" vertical="top"/>
    </xf>
    <xf numFmtId="166" fontId="15" fillId="10" borderId="29" xfId="0" applyNumberFormat="1" applyFont="1" applyFill="1" applyBorder="1" applyAlignment="1">
      <alignment vertical="top" wrapText="1"/>
    </xf>
    <xf numFmtId="167" fontId="43" fillId="0" borderId="1" xfId="0" applyNumberFormat="1" applyFont="1" applyBorder="1" applyAlignment="1">
      <alignment horizontal="right" vertical="center" wrapText="1"/>
    </xf>
    <xf numFmtId="4" fontId="43" fillId="0" borderId="1" xfId="0" applyNumberFormat="1" applyFont="1" applyBorder="1" applyAlignment="1">
      <alignment horizontal="right" vertical="center" wrapText="1"/>
    </xf>
    <xf numFmtId="167" fontId="22" fillId="0" borderId="1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167" fontId="22" fillId="0" borderId="1" xfId="0" applyNumberFormat="1" applyFont="1" applyFill="1" applyBorder="1" applyAlignment="1">
      <alignment vertical="top"/>
    </xf>
    <xf numFmtId="43" fontId="22" fillId="0" borderId="1" xfId="0" applyNumberFormat="1" applyFont="1" applyFill="1" applyBorder="1" applyAlignment="1">
      <alignment vertical="top"/>
    </xf>
    <xf numFmtId="0" fontId="44" fillId="0" borderId="1" xfId="0" applyFont="1" applyBorder="1" applyAlignment="1">
      <alignment vertical="top"/>
    </xf>
    <xf numFmtId="167" fontId="44" fillId="0" borderId="1" xfId="0" applyNumberFormat="1" applyFont="1" applyFill="1" applyBorder="1" applyAlignment="1">
      <alignment vertical="top"/>
    </xf>
    <xf numFmtId="43" fontId="44" fillId="0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43" fontId="22" fillId="14" borderId="1" xfId="0" applyNumberFormat="1" applyFont="1" applyFill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top" wrapText="1"/>
    </xf>
    <xf numFmtId="0" fontId="6" fillId="10" borderId="19" xfId="0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horizontal="center" vertical="top" wrapText="1"/>
    </xf>
    <xf numFmtId="0" fontId="6" fillId="10" borderId="20" xfId="0" applyFont="1" applyFill="1" applyBorder="1" applyAlignment="1">
      <alignment horizontal="center" vertical="top" wrapText="1"/>
    </xf>
    <xf numFmtId="0" fontId="6" fillId="10" borderId="23" xfId="0" applyFont="1" applyFill="1" applyBorder="1" applyAlignment="1">
      <alignment horizontal="center" vertical="top" wrapText="1"/>
    </xf>
    <xf numFmtId="0" fontId="6" fillId="10" borderId="17" xfId="0" applyFont="1" applyFill="1" applyBorder="1" applyAlignment="1">
      <alignment horizontal="center" vertical="top" wrapText="1"/>
    </xf>
    <xf numFmtId="0" fontId="6" fillId="10" borderId="15" xfId="0" applyFont="1" applyFill="1" applyBorder="1" applyAlignment="1">
      <alignment horizontal="center" vertical="top" wrapText="1"/>
    </xf>
    <xf numFmtId="0" fontId="6" fillId="10" borderId="24" xfId="0" applyFont="1" applyFill="1" applyBorder="1" applyAlignment="1">
      <alignment horizontal="center" vertical="top"/>
    </xf>
    <xf numFmtId="0" fontId="6" fillId="10" borderId="8" xfId="0" applyFont="1" applyFill="1" applyBorder="1" applyAlignment="1">
      <alignment horizontal="center" vertical="top"/>
    </xf>
    <xf numFmtId="0" fontId="6" fillId="10" borderId="9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4" fontId="1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/>
    </xf>
    <xf numFmtId="0" fontId="16" fillId="0" borderId="42" xfId="0" applyFont="1" applyBorder="1" applyAlignment="1">
      <alignment horizontal="center" vertical="top"/>
    </xf>
  </cellXfs>
  <cellStyles count="7">
    <cellStyle name="Гиперссылка" xfId="6" builtinId="8"/>
    <cellStyle name="Нейтральный" xfId="3" builtinId="28"/>
    <cellStyle name="Обычный" xfId="0" builtinId="0"/>
    <cellStyle name="Обычный 2" xfId="5"/>
    <cellStyle name="Обычный 4" xfId="4"/>
    <cellStyle name="Плохой" xfId="2" builtinId="27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pane ySplit="3" topLeftCell="A64" activePane="bottomLeft" state="frozen"/>
      <selection pane="bottomLeft" activeCell="C89" sqref="C89"/>
    </sheetView>
  </sheetViews>
  <sheetFormatPr defaultColWidth="9.140625" defaultRowHeight="12" x14ac:dyDescent="0.25"/>
  <cols>
    <col min="1" max="1" width="7.85546875" style="127" customWidth="1"/>
    <col min="2" max="2" width="6.140625" style="128" customWidth="1"/>
    <col min="3" max="3" width="55.85546875" style="127" customWidth="1"/>
    <col min="4" max="8" width="5.85546875" style="127" customWidth="1"/>
    <col min="9" max="9" width="9.140625" style="127"/>
    <col min="10" max="10" width="42.42578125" style="129" customWidth="1"/>
    <col min="11" max="16384" width="9.140625" style="127"/>
  </cols>
  <sheetData>
    <row r="1" spans="1:10" ht="12.75" thickBot="1" x14ac:dyDescent="0.3"/>
    <row r="2" spans="1:10" x14ac:dyDescent="0.25">
      <c r="B2" s="276" t="s">
        <v>1</v>
      </c>
      <c r="C2" s="278" t="s">
        <v>230</v>
      </c>
      <c r="D2" s="278" t="s">
        <v>231</v>
      </c>
      <c r="E2" s="278"/>
      <c r="F2" s="278"/>
      <c r="G2" s="278"/>
      <c r="H2" s="278"/>
      <c r="I2" s="280"/>
    </row>
    <row r="3" spans="1:10" ht="15.75" thickBot="1" x14ac:dyDescent="0.3">
      <c r="A3" s="127" t="s">
        <v>182</v>
      </c>
      <c r="B3" s="277"/>
      <c r="C3" s="279"/>
      <c r="D3" s="227" t="s">
        <v>232</v>
      </c>
      <c r="E3" s="227" t="s">
        <v>233</v>
      </c>
      <c r="F3" s="227" t="s">
        <v>234</v>
      </c>
      <c r="G3" s="227" t="s">
        <v>235</v>
      </c>
      <c r="H3" s="227" t="s">
        <v>236</v>
      </c>
      <c r="I3" s="228" t="s">
        <v>0</v>
      </c>
    </row>
    <row r="4" spans="1:10" ht="24" x14ac:dyDescent="0.25">
      <c r="B4" s="151"/>
      <c r="C4" s="152" t="s">
        <v>110</v>
      </c>
      <c r="D4" s="153">
        <f>SUM(D5,D16,D32,D34,D54,D64)</f>
        <v>61</v>
      </c>
      <c r="E4" s="153">
        <f t="shared" ref="E4:H4" si="0">SUM(E5,E16,E32,E34,E54,E64)</f>
        <v>19</v>
      </c>
      <c r="F4" s="153">
        <f t="shared" si="0"/>
        <v>17</v>
      </c>
      <c r="G4" s="153">
        <f t="shared" si="0"/>
        <v>6</v>
      </c>
      <c r="H4" s="153">
        <f t="shared" si="0"/>
        <v>41</v>
      </c>
      <c r="I4" s="153">
        <f>SUM(D4:H4)</f>
        <v>144</v>
      </c>
    </row>
    <row r="5" spans="1:10" x14ac:dyDescent="0.25">
      <c r="A5" s="127" t="s">
        <v>105</v>
      </c>
      <c r="B5" s="130">
        <v>1</v>
      </c>
      <c r="C5" s="118" t="s">
        <v>160</v>
      </c>
      <c r="D5" s="119">
        <f>SUM(D6,D12,D10)</f>
        <v>9</v>
      </c>
      <c r="E5" s="119">
        <f t="shared" ref="E5:H5" si="1">SUM(E6,E12,E10)</f>
        <v>7</v>
      </c>
      <c r="F5" s="119">
        <f t="shared" si="1"/>
        <v>1</v>
      </c>
      <c r="G5" s="119">
        <f t="shared" si="1"/>
        <v>0</v>
      </c>
      <c r="H5" s="119">
        <f t="shared" si="1"/>
        <v>0</v>
      </c>
      <c r="I5" s="120">
        <f>SUM(D5:H5)</f>
        <v>17</v>
      </c>
    </row>
    <row r="6" spans="1:10" ht="24" collapsed="1" x14ac:dyDescent="0.25">
      <c r="B6" s="131" t="s">
        <v>111</v>
      </c>
      <c r="C6" s="121" t="s">
        <v>112</v>
      </c>
      <c r="D6" s="122">
        <f>SUM(D7:D9)</f>
        <v>3</v>
      </c>
      <c r="E6" s="122">
        <f t="shared" ref="E6:H6" si="2">SUM(E7:E9)</f>
        <v>1</v>
      </c>
      <c r="F6" s="122">
        <f t="shared" si="2"/>
        <v>1</v>
      </c>
      <c r="G6" s="122">
        <f t="shared" si="2"/>
        <v>0</v>
      </c>
      <c r="H6" s="122">
        <f t="shared" si="2"/>
        <v>0</v>
      </c>
      <c r="I6" s="123">
        <f>SUM(D6:H6)</f>
        <v>5</v>
      </c>
    </row>
    <row r="7" spans="1:10" s="132" customFormat="1" ht="24" x14ac:dyDescent="0.25">
      <c r="B7" s="133"/>
      <c r="C7" s="124" t="s">
        <v>113</v>
      </c>
      <c r="D7" s="136">
        <v>1</v>
      </c>
      <c r="E7" s="136">
        <v>1</v>
      </c>
      <c r="F7" s="136">
        <v>1</v>
      </c>
      <c r="G7" s="136">
        <v>0</v>
      </c>
      <c r="H7" s="125">
        <v>0</v>
      </c>
      <c r="I7" s="126"/>
      <c r="J7" s="129"/>
    </row>
    <row r="8" spans="1:10" s="132" customFormat="1" ht="24" x14ac:dyDescent="0.25">
      <c r="B8" s="133"/>
      <c r="C8" s="124" t="s">
        <v>114</v>
      </c>
      <c r="D8" s="136">
        <v>1</v>
      </c>
      <c r="E8" s="136">
        <v>0</v>
      </c>
      <c r="F8" s="136">
        <v>0</v>
      </c>
      <c r="G8" s="136">
        <v>0</v>
      </c>
      <c r="H8" s="125">
        <v>0</v>
      </c>
      <c r="I8" s="126"/>
      <c r="J8" s="129"/>
    </row>
    <row r="9" spans="1:10" s="132" customFormat="1" ht="24" x14ac:dyDescent="0.25">
      <c r="B9" s="133"/>
      <c r="C9" s="124" t="s">
        <v>115</v>
      </c>
      <c r="D9" s="136">
        <v>1</v>
      </c>
      <c r="E9" s="136">
        <v>0</v>
      </c>
      <c r="F9" s="136">
        <v>0</v>
      </c>
      <c r="G9" s="136">
        <v>0</v>
      </c>
      <c r="H9" s="125">
        <v>0</v>
      </c>
      <c r="I9" s="126"/>
      <c r="J9" s="129"/>
    </row>
    <row r="10" spans="1:10" x14ac:dyDescent="0.25">
      <c r="B10" s="130" t="s">
        <v>116</v>
      </c>
      <c r="C10" s="121" t="s">
        <v>117</v>
      </c>
      <c r="D10" s="148">
        <f>SUM(D11)</f>
        <v>1</v>
      </c>
      <c r="E10" s="148">
        <f t="shared" ref="E10:H10" si="3">SUM(E11)</f>
        <v>1</v>
      </c>
      <c r="F10" s="148">
        <f t="shared" si="3"/>
        <v>0</v>
      </c>
      <c r="G10" s="148">
        <f t="shared" si="3"/>
        <v>0</v>
      </c>
      <c r="H10" s="122">
        <f t="shared" si="3"/>
        <v>0</v>
      </c>
      <c r="I10" s="123">
        <f>SUM(D10:H10)</f>
        <v>2</v>
      </c>
    </row>
    <row r="11" spans="1:10" s="132" customFormat="1" ht="24" x14ac:dyDescent="0.25">
      <c r="B11" s="133"/>
      <c r="C11" s="124" t="s">
        <v>118</v>
      </c>
      <c r="D11" s="125">
        <v>1</v>
      </c>
      <c r="E11" s="125">
        <v>1</v>
      </c>
      <c r="F11" s="125">
        <v>0</v>
      </c>
      <c r="G11" s="125">
        <v>0</v>
      </c>
      <c r="H11" s="125">
        <v>0</v>
      </c>
      <c r="I11" s="126"/>
      <c r="J11" s="129"/>
    </row>
    <row r="12" spans="1:10" ht="24" x14ac:dyDescent="0.25">
      <c r="B12" s="130" t="s">
        <v>119</v>
      </c>
      <c r="C12" s="121" t="s">
        <v>120</v>
      </c>
      <c r="D12" s="122">
        <f>SUM(D13:D15)</f>
        <v>5</v>
      </c>
      <c r="E12" s="122">
        <f t="shared" ref="E12:H12" si="4">SUM(E13:E15)</f>
        <v>5</v>
      </c>
      <c r="F12" s="122">
        <f t="shared" si="4"/>
        <v>0</v>
      </c>
      <c r="G12" s="122">
        <f t="shared" si="4"/>
        <v>0</v>
      </c>
      <c r="H12" s="122">
        <f t="shared" si="4"/>
        <v>0</v>
      </c>
      <c r="I12" s="123">
        <f>SUM(D12:H12)</f>
        <v>10</v>
      </c>
    </row>
    <row r="13" spans="1:10" ht="24" x14ac:dyDescent="0.25">
      <c r="B13" s="130"/>
      <c r="C13" s="124" t="s">
        <v>176</v>
      </c>
      <c r="D13" s="125">
        <v>3</v>
      </c>
      <c r="E13" s="125">
        <v>5</v>
      </c>
      <c r="F13" s="125">
        <v>0</v>
      </c>
      <c r="G13" s="125">
        <v>0</v>
      </c>
      <c r="H13" s="125">
        <v>0</v>
      </c>
      <c r="I13" s="123"/>
    </row>
    <row r="14" spans="1:10" x14ac:dyDescent="0.25">
      <c r="B14" s="130"/>
      <c r="C14" s="124" t="s">
        <v>185</v>
      </c>
      <c r="D14" s="125">
        <v>1</v>
      </c>
      <c r="E14" s="125">
        <v>0</v>
      </c>
      <c r="F14" s="125">
        <v>0</v>
      </c>
      <c r="G14" s="125">
        <v>0</v>
      </c>
      <c r="H14" s="125">
        <v>0</v>
      </c>
      <c r="I14" s="123"/>
    </row>
    <row r="15" spans="1:10" s="132" customFormat="1" x14ac:dyDescent="0.25">
      <c r="B15" s="134"/>
      <c r="C15" s="147" t="s">
        <v>186</v>
      </c>
      <c r="D15" s="125">
        <v>1</v>
      </c>
      <c r="E15" s="125">
        <v>0</v>
      </c>
      <c r="F15" s="125">
        <v>0</v>
      </c>
      <c r="G15" s="125">
        <v>0</v>
      </c>
      <c r="H15" s="125">
        <v>0</v>
      </c>
      <c r="I15" s="126"/>
      <c r="J15" s="129"/>
    </row>
    <row r="16" spans="1:10" x14ac:dyDescent="0.25">
      <c r="A16" s="127" t="s">
        <v>106</v>
      </c>
      <c r="B16" s="130">
        <v>2</v>
      </c>
      <c r="C16" s="118" t="s">
        <v>161</v>
      </c>
      <c r="D16" s="119">
        <f>SUM(D17,D23,D29,D26)</f>
        <v>17</v>
      </c>
      <c r="E16" s="119">
        <f t="shared" ref="E16:H16" si="5">SUM(E17,E23,E29,E26)</f>
        <v>9</v>
      </c>
      <c r="F16" s="119">
        <f t="shared" si="5"/>
        <v>2</v>
      </c>
      <c r="G16" s="119">
        <f t="shared" si="5"/>
        <v>0</v>
      </c>
      <c r="H16" s="119">
        <f t="shared" si="5"/>
        <v>7</v>
      </c>
      <c r="I16" s="120">
        <f>SUM(D16:H16)</f>
        <v>35</v>
      </c>
    </row>
    <row r="17" spans="1:10" collapsed="1" x14ac:dyDescent="0.25">
      <c r="B17" s="130" t="s">
        <v>121</v>
      </c>
      <c r="C17" s="121" t="s">
        <v>122</v>
      </c>
      <c r="D17" s="122">
        <f>SUM(D18:D22)</f>
        <v>10</v>
      </c>
      <c r="E17" s="122">
        <f t="shared" ref="E17:H17" si="6">SUM(E18:E22)</f>
        <v>0</v>
      </c>
      <c r="F17" s="122">
        <f t="shared" si="6"/>
        <v>0</v>
      </c>
      <c r="G17" s="122">
        <f t="shared" si="6"/>
        <v>0</v>
      </c>
      <c r="H17" s="122">
        <f t="shared" si="6"/>
        <v>5</v>
      </c>
      <c r="I17" s="123">
        <f>SUM(D17:H17)</f>
        <v>15</v>
      </c>
    </row>
    <row r="18" spans="1:10" s="132" customFormat="1" ht="24" x14ac:dyDescent="0.25">
      <c r="B18" s="134"/>
      <c r="C18" s="124" t="s">
        <v>166</v>
      </c>
      <c r="D18" s="136">
        <v>6</v>
      </c>
      <c r="E18" s="136">
        <v>0</v>
      </c>
      <c r="F18" s="136">
        <v>0</v>
      </c>
      <c r="G18" s="136">
        <v>0</v>
      </c>
      <c r="H18" s="136">
        <v>1</v>
      </c>
      <c r="I18" s="126"/>
      <c r="J18" s="129"/>
    </row>
    <row r="19" spans="1:10" s="132" customFormat="1" ht="24" x14ac:dyDescent="0.25">
      <c r="B19" s="134"/>
      <c r="C19" s="124" t="s">
        <v>167</v>
      </c>
      <c r="D19" s="136">
        <v>1</v>
      </c>
      <c r="E19" s="136">
        <v>0</v>
      </c>
      <c r="F19" s="136">
        <v>0</v>
      </c>
      <c r="G19" s="136">
        <v>0</v>
      </c>
      <c r="H19" s="136">
        <v>1</v>
      </c>
      <c r="I19" s="126"/>
      <c r="J19" s="129"/>
    </row>
    <row r="20" spans="1:10" s="132" customFormat="1" ht="24" x14ac:dyDescent="0.25">
      <c r="B20" s="134"/>
      <c r="C20" s="124" t="s">
        <v>168</v>
      </c>
      <c r="D20" s="136">
        <v>1</v>
      </c>
      <c r="E20" s="136">
        <v>0</v>
      </c>
      <c r="F20" s="136">
        <v>0</v>
      </c>
      <c r="G20" s="136">
        <v>0</v>
      </c>
      <c r="H20" s="136">
        <v>1</v>
      </c>
      <c r="I20" s="126"/>
      <c r="J20" s="129"/>
    </row>
    <row r="21" spans="1:10" s="132" customFormat="1" ht="24" x14ac:dyDescent="0.25">
      <c r="B21" s="133"/>
      <c r="C21" s="124" t="s">
        <v>169</v>
      </c>
      <c r="D21" s="136">
        <v>1</v>
      </c>
      <c r="E21" s="136">
        <v>0</v>
      </c>
      <c r="F21" s="136">
        <v>0</v>
      </c>
      <c r="G21" s="136">
        <v>0</v>
      </c>
      <c r="H21" s="136">
        <v>1</v>
      </c>
      <c r="I21" s="126"/>
      <c r="J21" s="129"/>
    </row>
    <row r="22" spans="1:10" s="132" customFormat="1" ht="24" x14ac:dyDescent="0.25">
      <c r="B22" s="134"/>
      <c r="C22" s="124" t="s">
        <v>170</v>
      </c>
      <c r="D22" s="136">
        <v>1</v>
      </c>
      <c r="E22" s="136">
        <v>0</v>
      </c>
      <c r="F22" s="136">
        <v>0</v>
      </c>
      <c r="G22" s="136">
        <v>0</v>
      </c>
      <c r="H22" s="136">
        <v>1</v>
      </c>
      <c r="I22" s="126"/>
      <c r="J22" s="129"/>
    </row>
    <row r="23" spans="1:10" ht="24" x14ac:dyDescent="0.25">
      <c r="B23" s="130" t="s">
        <v>123</v>
      </c>
      <c r="C23" s="121" t="s">
        <v>124</v>
      </c>
      <c r="D23" s="148">
        <f>SUM(D24:D25)</f>
        <v>4</v>
      </c>
      <c r="E23" s="148">
        <f t="shared" ref="E23:H23" si="7">SUM(E24:E25)</f>
        <v>9</v>
      </c>
      <c r="F23" s="148">
        <f t="shared" si="7"/>
        <v>1</v>
      </c>
      <c r="G23" s="148">
        <f t="shared" si="7"/>
        <v>0</v>
      </c>
      <c r="H23" s="148">
        <f t="shared" si="7"/>
        <v>1</v>
      </c>
      <c r="I23" s="123">
        <f>SUM(D23:H23)</f>
        <v>15</v>
      </c>
    </row>
    <row r="24" spans="1:10" s="132" customFormat="1" ht="24" x14ac:dyDescent="0.25">
      <c r="B24" s="134"/>
      <c r="C24" s="124" t="s">
        <v>171</v>
      </c>
      <c r="D24" s="136">
        <v>3</v>
      </c>
      <c r="E24" s="136">
        <v>9</v>
      </c>
      <c r="F24" s="136">
        <v>0</v>
      </c>
      <c r="G24" s="136">
        <v>0</v>
      </c>
      <c r="H24" s="136">
        <v>1</v>
      </c>
      <c r="I24" s="126"/>
      <c r="J24" s="129"/>
    </row>
    <row r="25" spans="1:10" s="132" customFormat="1" x14ac:dyDescent="0.25">
      <c r="B25" s="133"/>
      <c r="C25" s="124" t="s">
        <v>172</v>
      </c>
      <c r="D25" s="136">
        <v>1</v>
      </c>
      <c r="E25" s="136">
        <v>0</v>
      </c>
      <c r="F25" s="136">
        <v>1</v>
      </c>
      <c r="G25" s="136">
        <v>0</v>
      </c>
      <c r="H25" s="136">
        <v>0</v>
      </c>
      <c r="I25" s="126"/>
      <c r="J25" s="129"/>
    </row>
    <row r="26" spans="1:10" ht="36" x14ac:dyDescent="0.25">
      <c r="B26" s="130" t="s">
        <v>125</v>
      </c>
      <c r="C26" s="121" t="s">
        <v>126</v>
      </c>
      <c r="D26" s="148">
        <f>SUM(D27:D28)</f>
        <v>1</v>
      </c>
      <c r="E26" s="148">
        <f t="shared" ref="E26:H26" si="8">SUM(E27:E28)</f>
        <v>0</v>
      </c>
      <c r="F26" s="148">
        <f t="shared" si="8"/>
        <v>1</v>
      </c>
      <c r="G26" s="148">
        <f t="shared" si="8"/>
        <v>0</v>
      </c>
      <c r="H26" s="148">
        <f t="shared" si="8"/>
        <v>1</v>
      </c>
      <c r="I26" s="123">
        <f>SUM(D26:H26)</f>
        <v>3</v>
      </c>
    </row>
    <row r="27" spans="1:10" s="132" customFormat="1" ht="24" x14ac:dyDescent="0.25">
      <c r="B27" s="134"/>
      <c r="C27" s="124" t="s">
        <v>173</v>
      </c>
      <c r="D27" s="136">
        <v>1</v>
      </c>
      <c r="E27" s="136">
        <v>0</v>
      </c>
      <c r="F27" s="136">
        <v>0</v>
      </c>
      <c r="G27" s="136">
        <v>0</v>
      </c>
      <c r="H27" s="136">
        <v>1</v>
      </c>
      <c r="I27" s="126"/>
      <c r="J27" s="129"/>
    </row>
    <row r="28" spans="1:10" s="132" customFormat="1" ht="24" x14ac:dyDescent="0.25">
      <c r="B28" s="133"/>
      <c r="C28" s="124" t="s">
        <v>127</v>
      </c>
      <c r="D28" s="136">
        <v>0</v>
      </c>
      <c r="E28" s="136">
        <v>0</v>
      </c>
      <c r="F28" s="136">
        <v>1</v>
      </c>
      <c r="G28" s="136">
        <v>0</v>
      </c>
      <c r="H28" s="136">
        <v>0</v>
      </c>
      <c r="I28" s="126"/>
      <c r="J28" s="129"/>
    </row>
    <row r="29" spans="1:10" x14ac:dyDescent="0.25">
      <c r="B29" s="130" t="s">
        <v>128</v>
      </c>
      <c r="C29" s="121" t="s">
        <v>129</v>
      </c>
      <c r="D29" s="148">
        <f>SUM(D30:D31)</f>
        <v>2</v>
      </c>
      <c r="E29" s="148">
        <f>SUM(E30:E31)</f>
        <v>0</v>
      </c>
      <c r="F29" s="148">
        <f>SUM(F30:F31)</f>
        <v>0</v>
      </c>
      <c r="G29" s="148">
        <f>SUM(G30:G31)</f>
        <v>0</v>
      </c>
      <c r="H29" s="148">
        <f>SUM(H30:H31)</f>
        <v>0</v>
      </c>
      <c r="I29" s="123">
        <f>SUM(D29:H29)</f>
        <v>2</v>
      </c>
    </row>
    <row r="30" spans="1:10" s="132" customFormat="1" ht="24" x14ac:dyDescent="0.25">
      <c r="B30" s="134"/>
      <c r="C30" s="124" t="s">
        <v>174</v>
      </c>
      <c r="D30" s="136">
        <v>1</v>
      </c>
      <c r="E30" s="136">
        <v>0</v>
      </c>
      <c r="F30" s="136">
        <v>0</v>
      </c>
      <c r="G30" s="136">
        <v>0</v>
      </c>
      <c r="H30" s="136">
        <v>0</v>
      </c>
      <c r="I30" s="126"/>
      <c r="J30" s="129"/>
    </row>
    <row r="31" spans="1:10" s="132" customFormat="1" x14ac:dyDescent="0.25">
      <c r="B31" s="134"/>
      <c r="C31" s="124" t="s">
        <v>175</v>
      </c>
      <c r="D31" s="136">
        <v>1</v>
      </c>
      <c r="E31" s="136">
        <v>0</v>
      </c>
      <c r="F31" s="136">
        <v>0</v>
      </c>
      <c r="G31" s="136">
        <v>0</v>
      </c>
      <c r="H31" s="136">
        <v>0</v>
      </c>
      <c r="I31" s="126"/>
      <c r="J31" s="129"/>
    </row>
    <row r="32" spans="1:10" x14ac:dyDescent="0.25">
      <c r="A32" s="127" t="s">
        <v>107</v>
      </c>
      <c r="B32" s="130">
        <v>3</v>
      </c>
      <c r="C32" s="118" t="s">
        <v>162</v>
      </c>
      <c r="D32" s="120">
        <f>SUM(D33)</f>
        <v>6</v>
      </c>
      <c r="E32" s="120">
        <f t="shared" ref="E32:H32" si="9">SUM(E33)</f>
        <v>0</v>
      </c>
      <c r="F32" s="120">
        <f t="shared" si="9"/>
        <v>6</v>
      </c>
      <c r="G32" s="120">
        <f t="shared" si="9"/>
        <v>0</v>
      </c>
      <c r="H32" s="120">
        <f t="shared" si="9"/>
        <v>6</v>
      </c>
      <c r="I32" s="120">
        <f>SUM(D33:G33)</f>
        <v>12</v>
      </c>
    </row>
    <row r="33" spans="1:10" ht="36" x14ac:dyDescent="0.25">
      <c r="B33" s="130"/>
      <c r="C33" s="121" t="s">
        <v>177</v>
      </c>
      <c r="D33" s="148">
        <v>6</v>
      </c>
      <c r="E33" s="148">
        <v>0</v>
      </c>
      <c r="F33" s="148">
        <v>6</v>
      </c>
      <c r="G33" s="148">
        <v>0</v>
      </c>
      <c r="H33" s="148">
        <v>6</v>
      </c>
      <c r="I33" s="123"/>
    </row>
    <row r="34" spans="1:10" x14ac:dyDescent="0.25">
      <c r="A34" s="127" t="s">
        <v>108</v>
      </c>
      <c r="B34" s="130">
        <v>4</v>
      </c>
      <c r="C34" s="118" t="s">
        <v>163</v>
      </c>
      <c r="D34" s="119">
        <f>SUM(D35,D38,D41,D44,D47,D50)</f>
        <v>15</v>
      </c>
      <c r="E34" s="119">
        <f t="shared" ref="E34:H34" si="10">SUM(E35,E38,E41,E44,E47,E50)</f>
        <v>3</v>
      </c>
      <c r="F34" s="119">
        <f t="shared" si="10"/>
        <v>2</v>
      </c>
      <c r="G34" s="119">
        <f t="shared" si="10"/>
        <v>1</v>
      </c>
      <c r="H34" s="119">
        <f t="shared" si="10"/>
        <v>14</v>
      </c>
      <c r="I34" s="120">
        <f>SUM(D34:H34)</f>
        <v>35</v>
      </c>
    </row>
    <row r="35" spans="1:10" ht="24" x14ac:dyDescent="0.25">
      <c r="B35" s="131" t="s">
        <v>130</v>
      </c>
      <c r="C35" s="121" t="s">
        <v>131</v>
      </c>
      <c r="D35" s="122">
        <f>SUM(D36:D37)</f>
        <v>1</v>
      </c>
      <c r="E35" s="122">
        <f t="shared" ref="E35:H35" si="11">SUM(E36:E37)</f>
        <v>1</v>
      </c>
      <c r="F35" s="122">
        <f t="shared" si="11"/>
        <v>0</v>
      </c>
      <c r="G35" s="122">
        <f t="shared" si="11"/>
        <v>0</v>
      </c>
      <c r="H35" s="122">
        <f t="shared" si="11"/>
        <v>1</v>
      </c>
      <c r="I35" s="123">
        <f>SUM(D35:H35)</f>
        <v>3</v>
      </c>
    </row>
    <row r="36" spans="1:10" s="132" customFormat="1" x14ac:dyDescent="0.25">
      <c r="B36" s="135"/>
      <c r="C36" s="124" t="s">
        <v>132</v>
      </c>
      <c r="D36" s="125">
        <v>0</v>
      </c>
      <c r="E36" s="136">
        <v>1</v>
      </c>
      <c r="F36" s="136">
        <v>0</v>
      </c>
      <c r="G36" s="125">
        <v>0</v>
      </c>
      <c r="H36" s="125">
        <v>0</v>
      </c>
      <c r="I36" s="126"/>
      <c r="J36" s="129"/>
    </row>
    <row r="37" spans="1:10" s="132" customFormat="1" x14ac:dyDescent="0.25">
      <c r="B37" s="135"/>
      <c r="C37" s="124" t="s">
        <v>133</v>
      </c>
      <c r="D37" s="125">
        <v>1</v>
      </c>
      <c r="E37" s="125">
        <v>0</v>
      </c>
      <c r="F37" s="125">
        <v>0</v>
      </c>
      <c r="G37" s="125">
        <v>0</v>
      </c>
      <c r="H37" s="125">
        <v>1</v>
      </c>
      <c r="I37" s="126"/>
      <c r="J37" s="129"/>
    </row>
    <row r="38" spans="1:10" ht="24" x14ac:dyDescent="0.25">
      <c r="B38" s="130" t="s">
        <v>134</v>
      </c>
      <c r="C38" s="121" t="s">
        <v>135</v>
      </c>
      <c r="D38" s="122">
        <f>SUM(D39:D40)</f>
        <v>1</v>
      </c>
      <c r="E38" s="122">
        <f t="shared" ref="E38:H38" si="12">SUM(E39:E40)</f>
        <v>1</v>
      </c>
      <c r="F38" s="122">
        <f t="shared" si="12"/>
        <v>0</v>
      </c>
      <c r="G38" s="122">
        <f t="shared" si="12"/>
        <v>0</v>
      </c>
      <c r="H38" s="122">
        <f t="shared" si="12"/>
        <v>1</v>
      </c>
      <c r="I38" s="123">
        <f>SUM(D38:H38)</f>
        <v>3</v>
      </c>
    </row>
    <row r="39" spans="1:10" s="132" customFormat="1" x14ac:dyDescent="0.25">
      <c r="B39" s="135"/>
      <c r="C39" s="124" t="s">
        <v>136</v>
      </c>
      <c r="D39" s="125">
        <v>0</v>
      </c>
      <c r="E39" s="136">
        <v>1</v>
      </c>
      <c r="F39" s="136">
        <v>0</v>
      </c>
      <c r="G39" s="125">
        <v>0</v>
      </c>
      <c r="H39" s="125">
        <v>0</v>
      </c>
      <c r="I39" s="126"/>
      <c r="J39" s="129"/>
    </row>
    <row r="40" spans="1:10" s="132" customFormat="1" ht="24" x14ac:dyDescent="0.25">
      <c r="B40" s="135"/>
      <c r="C40" s="124" t="s">
        <v>137</v>
      </c>
      <c r="D40" s="125">
        <v>1</v>
      </c>
      <c r="E40" s="125">
        <v>0</v>
      </c>
      <c r="F40" s="125">
        <v>0</v>
      </c>
      <c r="G40" s="125">
        <v>0</v>
      </c>
      <c r="H40" s="125">
        <v>1</v>
      </c>
      <c r="I40" s="126"/>
      <c r="J40" s="129"/>
    </row>
    <row r="41" spans="1:10" ht="24" x14ac:dyDescent="0.25">
      <c r="B41" s="130" t="s">
        <v>138</v>
      </c>
      <c r="C41" s="121" t="s">
        <v>139</v>
      </c>
      <c r="D41" s="148">
        <f>SUM(D42:D43)</f>
        <v>3</v>
      </c>
      <c r="E41" s="148">
        <f t="shared" ref="E41:H41" si="13">SUM(E42:E43)</f>
        <v>1</v>
      </c>
      <c r="F41" s="148">
        <f t="shared" si="13"/>
        <v>0</v>
      </c>
      <c r="G41" s="148">
        <f t="shared" si="13"/>
        <v>0</v>
      </c>
      <c r="H41" s="148">
        <f t="shared" si="13"/>
        <v>3</v>
      </c>
      <c r="I41" s="123">
        <f>SUM(D41:H41)</f>
        <v>7</v>
      </c>
    </row>
    <row r="42" spans="1:10" s="132" customFormat="1" ht="24" x14ac:dyDescent="0.25">
      <c r="B42" s="135"/>
      <c r="C42" s="124" t="s">
        <v>140</v>
      </c>
      <c r="D42" s="136">
        <v>0</v>
      </c>
      <c r="E42" s="136">
        <v>1</v>
      </c>
      <c r="F42" s="136">
        <v>0</v>
      </c>
      <c r="G42" s="136">
        <v>0</v>
      </c>
      <c r="H42" s="136">
        <v>0</v>
      </c>
      <c r="I42" s="126"/>
      <c r="J42" s="129"/>
    </row>
    <row r="43" spans="1:10" s="132" customFormat="1" x14ac:dyDescent="0.25">
      <c r="B43" s="135"/>
      <c r="C43" s="124" t="s">
        <v>141</v>
      </c>
      <c r="D43" s="136">
        <v>3</v>
      </c>
      <c r="E43" s="136">
        <v>0</v>
      </c>
      <c r="F43" s="136">
        <v>0</v>
      </c>
      <c r="G43" s="136">
        <v>0</v>
      </c>
      <c r="H43" s="136">
        <v>3</v>
      </c>
      <c r="I43" s="126"/>
      <c r="J43" s="129"/>
    </row>
    <row r="44" spans="1:10" ht="24" x14ac:dyDescent="0.25">
      <c r="B44" s="130" t="s">
        <v>142</v>
      </c>
      <c r="C44" s="121" t="s">
        <v>143</v>
      </c>
      <c r="D44" s="148">
        <f>SUM(D45:D46)</f>
        <v>1</v>
      </c>
      <c r="E44" s="148">
        <f t="shared" ref="E44:H44" si="14">SUM(E45:E46)</f>
        <v>0</v>
      </c>
      <c r="F44" s="148">
        <f t="shared" si="14"/>
        <v>1</v>
      </c>
      <c r="G44" s="148">
        <f t="shared" si="14"/>
        <v>0</v>
      </c>
      <c r="H44" s="148">
        <f t="shared" si="14"/>
        <v>1</v>
      </c>
      <c r="I44" s="123">
        <f>SUM(D44:H44)</f>
        <v>3</v>
      </c>
    </row>
    <row r="45" spans="1:10" s="132" customFormat="1" ht="24" x14ac:dyDescent="0.25">
      <c r="B45" s="135"/>
      <c r="C45" s="124" t="s">
        <v>144</v>
      </c>
      <c r="D45" s="136">
        <v>0</v>
      </c>
      <c r="E45" s="136">
        <v>0</v>
      </c>
      <c r="F45" s="136">
        <v>1</v>
      </c>
      <c r="G45" s="136">
        <v>0</v>
      </c>
      <c r="H45" s="136">
        <v>0</v>
      </c>
      <c r="I45" s="126"/>
      <c r="J45" s="129"/>
    </row>
    <row r="46" spans="1:10" s="132" customFormat="1" x14ac:dyDescent="0.25">
      <c r="B46" s="135"/>
      <c r="C46" s="124" t="s">
        <v>145</v>
      </c>
      <c r="D46" s="136">
        <v>1</v>
      </c>
      <c r="E46" s="136">
        <v>0</v>
      </c>
      <c r="F46" s="136">
        <v>0</v>
      </c>
      <c r="G46" s="136">
        <v>0</v>
      </c>
      <c r="H46" s="136">
        <v>1</v>
      </c>
      <c r="I46" s="126"/>
      <c r="J46" s="129"/>
    </row>
    <row r="47" spans="1:10" x14ac:dyDescent="0.25">
      <c r="B47" s="130" t="s">
        <v>146</v>
      </c>
      <c r="C47" s="121" t="s">
        <v>147</v>
      </c>
      <c r="D47" s="148">
        <f>SUM(D48:D49)</f>
        <v>7</v>
      </c>
      <c r="E47" s="148">
        <f t="shared" ref="E47:H47" si="15">SUM(E48:E49)</f>
        <v>0</v>
      </c>
      <c r="F47" s="148">
        <f t="shared" si="15"/>
        <v>1</v>
      </c>
      <c r="G47" s="148">
        <f t="shared" si="15"/>
        <v>0</v>
      </c>
      <c r="H47" s="148">
        <f t="shared" si="15"/>
        <v>7</v>
      </c>
      <c r="I47" s="123">
        <f>SUM(D47:H47)</f>
        <v>15</v>
      </c>
    </row>
    <row r="48" spans="1:10" s="132" customFormat="1" x14ac:dyDescent="0.25">
      <c r="B48" s="135"/>
      <c r="C48" s="124" t="s">
        <v>148</v>
      </c>
      <c r="D48" s="136">
        <v>1</v>
      </c>
      <c r="E48" s="136">
        <v>0</v>
      </c>
      <c r="F48" s="136">
        <v>1</v>
      </c>
      <c r="G48" s="136">
        <v>0</v>
      </c>
      <c r="H48" s="136">
        <v>1</v>
      </c>
      <c r="I48" s="126"/>
      <c r="J48" s="129"/>
    </row>
    <row r="49" spans="1:10" s="132" customFormat="1" ht="24" x14ac:dyDescent="0.25">
      <c r="B49" s="135"/>
      <c r="C49" s="124" t="s">
        <v>149</v>
      </c>
      <c r="D49" s="136">
        <v>6</v>
      </c>
      <c r="E49" s="136">
        <v>0</v>
      </c>
      <c r="F49" s="136">
        <v>0</v>
      </c>
      <c r="G49" s="136">
        <v>0</v>
      </c>
      <c r="H49" s="136">
        <v>6</v>
      </c>
      <c r="I49" s="126"/>
      <c r="J49" s="129"/>
    </row>
    <row r="50" spans="1:10" ht="15.4" customHeight="1" x14ac:dyDescent="0.25">
      <c r="B50" s="130" t="s">
        <v>150</v>
      </c>
      <c r="C50" s="121" t="s">
        <v>151</v>
      </c>
      <c r="D50" s="148">
        <f>SUM(D51:D53)</f>
        <v>2</v>
      </c>
      <c r="E50" s="148">
        <f t="shared" ref="E50:H50" si="16">SUM(E51:E53)</f>
        <v>0</v>
      </c>
      <c r="F50" s="148">
        <f t="shared" si="16"/>
        <v>0</v>
      </c>
      <c r="G50" s="148">
        <f t="shared" si="16"/>
        <v>1</v>
      </c>
      <c r="H50" s="148">
        <f t="shared" si="16"/>
        <v>1</v>
      </c>
      <c r="I50" s="123">
        <f>SUM(D50:H50)</f>
        <v>4</v>
      </c>
    </row>
    <row r="51" spans="1:10" s="132" customFormat="1" x14ac:dyDescent="0.25">
      <c r="B51" s="135"/>
      <c r="C51" s="124" t="s">
        <v>152</v>
      </c>
      <c r="D51" s="136">
        <v>0</v>
      </c>
      <c r="E51" s="136">
        <v>0</v>
      </c>
      <c r="F51" s="136">
        <v>0</v>
      </c>
      <c r="G51" s="136">
        <v>0</v>
      </c>
      <c r="H51" s="136">
        <v>1</v>
      </c>
      <c r="I51" s="126"/>
      <c r="J51" s="129"/>
    </row>
    <row r="52" spans="1:10" s="132" customFormat="1" x14ac:dyDescent="0.25">
      <c r="B52" s="135"/>
      <c r="C52" s="124" t="s">
        <v>187</v>
      </c>
      <c r="D52" s="136">
        <v>1</v>
      </c>
      <c r="E52" s="136">
        <v>0</v>
      </c>
      <c r="F52" s="136">
        <v>0</v>
      </c>
      <c r="G52" s="136">
        <v>0</v>
      </c>
      <c r="H52" s="136">
        <v>0</v>
      </c>
      <c r="I52" s="126"/>
      <c r="J52" s="129"/>
    </row>
    <row r="53" spans="1:10" s="132" customFormat="1" ht="24" x14ac:dyDescent="0.25">
      <c r="B53" s="135"/>
      <c r="C53" s="124" t="s">
        <v>178</v>
      </c>
      <c r="D53" s="136">
        <v>1</v>
      </c>
      <c r="E53" s="136">
        <v>0</v>
      </c>
      <c r="F53" s="136">
        <v>0</v>
      </c>
      <c r="G53" s="136">
        <v>1</v>
      </c>
      <c r="H53" s="136">
        <v>0</v>
      </c>
      <c r="I53" s="126"/>
      <c r="J53" s="129"/>
    </row>
    <row r="54" spans="1:10" x14ac:dyDescent="0.25">
      <c r="A54" s="127" t="s">
        <v>109</v>
      </c>
      <c r="B54" s="130">
        <v>5</v>
      </c>
      <c r="C54" s="118" t="s">
        <v>164</v>
      </c>
      <c r="D54" s="119">
        <f>SUM(D55,D58,D61)</f>
        <v>4</v>
      </c>
      <c r="E54" s="119">
        <f t="shared" ref="E54:H54" si="17">SUM(E55,E58,E61)</f>
        <v>0</v>
      </c>
      <c r="F54" s="119">
        <f t="shared" si="17"/>
        <v>3</v>
      </c>
      <c r="G54" s="119">
        <f t="shared" si="17"/>
        <v>5</v>
      </c>
      <c r="H54" s="119">
        <f t="shared" si="17"/>
        <v>3</v>
      </c>
      <c r="I54" s="120">
        <f>SUM(D54:H54)</f>
        <v>15</v>
      </c>
    </row>
    <row r="55" spans="1:10" ht="24" x14ac:dyDescent="0.25">
      <c r="B55" s="130" t="s">
        <v>153</v>
      </c>
      <c r="C55" s="121" t="s">
        <v>154</v>
      </c>
      <c r="D55" s="122">
        <f>SUM(D56:D57)</f>
        <v>1</v>
      </c>
      <c r="E55" s="122">
        <f t="shared" ref="E55:H55" si="18">SUM(E56:E57)</f>
        <v>0</v>
      </c>
      <c r="F55" s="122">
        <f t="shared" si="18"/>
        <v>1</v>
      </c>
      <c r="G55" s="122">
        <f t="shared" si="18"/>
        <v>2</v>
      </c>
      <c r="H55" s="122">
        <f t="shared" si="18"/>
        <v>1</v>
      </c>
      <c r="I55" s="123">
        <f>SUM(D55:H55)</f>
        <v>5</v>
      </c>
    </row>
    <row r="56" spans="1:10" s="132" customFormat="1" ht="36" x14ac:dyDescent="0.25">
      <c r="B56" s="135"/>
      <c r="C56" s="124" t="s">
        <v>179</v>
      </c>
      <c r="D56" s="136">
        <v>0</v>
      </c>
      <c r="E56" s="136">
        <v>0</v>
      </c>
      <c r="F56" s="136">
        <v>0</v>
      </c>
      <c r="G56" s="136">
        <v>2</v>
      </c>
      <c r="H56" s="136">
        <v>0</v>
      </c>
      <c r="I56" s="126"/>
      <c r="J56" s="129"/>
    </row>
    <row r="57" spans="1:10" s="132" customFormat="1" ht="24" x14ac:dyDescent="0.25">
      <c r="B57" s="135"/>
      <c r="C57" s="124" t="s">
        <v>155</v>
      </c>
      <c r="D57" s="136">
        <v>1</v>
      </c>
      <c r="E57" s="136">
        <v>0</v>
      </c>
      <c r="F57" s="136">
        <v>1</v>
      </c>
      <c r="G57" s="136">
        <v>0</v>
      </c>
      <c r="H57" s="136">
        <v>1</v>
      </c>
      <c r="I57" s="126"/>
      <c r="J57" s="129"/>
    </row>
    <row r="58" spans="1:10" ht="24" x14ac:dyDescent="0.25">
      <c r="B58" s="130" t="s">
        <v>156</v>
      </c>
      <c r="C58" s="121" t="s">
        <v>157</v>
      </c>
      <c r="D58" s="148">
        <f>SUM(D59:D60)</f>
        <v>2</v>
      </c>
      <c r="E58" s="148">
        <f t="shared" ref="E58:H58" si="19">SUM(E59:E60)</f>
        <v>0</v>
      </c>
      <c r="F58" s="148">
        <f t="shared" si="19"/>
        <v>1</v>
      </c>
      <c r="G58" s="148">
        <f t="shared" si="19"/>
        <v>1</v>
      </c>
      <c r="H58" s="148">
        <f t="shared" si="19"/>
        <v>1</v>
      </c>
      <c r="I58" s="123">
        <f>SUM(D58:H58)</f>
        <v>5</v>
      </c>
    </row>
    <row r="59" spans="1:10" s="132" customFormat="1" ht="36" x14ac:dyDescent="0.25">
      <c r="B59" s="135"/>
      <c r="C59" s="124" t="s">
        <v>180</v>
      </c>
      <c r="D59" s="136">
        <v>1</v>
      </c>
      <c r="E59" s="136">
        <v>0</v>
      </c>
      <c r="F59" s="136">
        <v>0</v>
      </c>
      <c r="G59" s="136">
        <v>1</v>
      </c>
      <c r="H59" s="136">
        <v>0</v>
      </c>
      <c r="I59" s="126"/>
      <c r="J59" s="129"/>
    </row>
    <row r="60" spans="1:10" s="132" customFormat="1" ht="24" x14ac:dyDescent="0.25">
      <c r="B60" s="135"/>
      <c r="C60" s="124" t="s">
        <v>155</v>
      </c>
      <c r="D60" s="136">
        <v>1</v>
      </c>
      <c r="E60" s="136">
        <v>0</v>
      </c>
      <c r="F60" s="136">
        <v>1</v>
      </c>
      <c r="G60" s="136">
        <v>0</v>
      </c>
      <c r="H60" s="136">
        <v>1</v>
      </c>
      <c r="I60" s="126"/>
      <c r="J60" s="129"/>
    </row>
    <row r="61" spans="1:10" ht="24" x14ac:dyDescent="0.25">
      <c r="B61" s="130" t="s">
        <v>158</v>
      </c>
      <c r="C61" s="121" t="s">
        <v>159</v>
      </c>
      <c r="D61" s="148">
        <f>SUM(D62:D63)</f>
        <v>1</v>
      </c>
      <c r="E61" s="148">
        <f t="shared" ref="E61:H61" si="20">SUM(E62:E63)</f>
        <v>0</v>
      </c>
      <c r="F61" s="148">
        <f t="shared" si="20"/>
        <v>1</v>
      </c>
      <c r="G61" s="148">
        <f t="shared" si="20"/>
        <v>2</v>
      </c>
      <c r="H61" s="148">
        <f t="shared" si="20"/>
        <v>1</v>
      </c>
      <c r="I61" s="123">
        <f>SUM(D61:H61)</f>
        <v>5</v>
      </c>
    </row>
    <row r="62" spans="1:10" s="132" customFormat="1" ht="36" x14ac:dyDescent="0.25">
      <c r="B62" s="135"/>
      <c r="C62" s="124" t="s">
        <v>181</v>
      </c>
      <c r="D62" s="136">
        <v>0</v>
      </c>
      <c r="E62" s="136">
        <v>0</v>
      </c>
      <c r="F62" s="136">
        <v>0</v>
      </c>
      <c r="G62" s="136">
        <v>2</v>
      </c>
      <c r="H62" s="136">
        <v>0</v>
      </c>
      <c r="I62" s="126"/>
      <c r="J62" s="129"/>
    </row>
    <row r="63" spans="1:10" s="132" customFormat="1" ht="24" x14ac:dyDescent="0.25">
      <c r="B63" s="135"/>
      <c r="C63" s="124" t="s">
        <v>155</v>
      </c>
      <c r="D63" s="136">
        <v>1</v>
      </c>
      <c r="E63" s="136">
        <v>0</v>
      </c>
      <c r="F63" s="136">
        <v>1</v>
      </c>
      <c r="G63" s="136">
        <v>0</v>
      </c>
      <c r="H63" s="136">
        <v>1</v>
      </c>
      <c r="I63" s="126"/>
      <c r="J63" s="129"/>
    </row>
    <row r="64" spans="1:10" collapsed="1" x14ac:dyDescent="0.25">
      <c r="A64" s="127" t="s">
        <v>184</v>
      </c>
      <c r="B64" s="130">
        <v>6</v>
      </c>
      <c r="C64" s="118" t="s">
        <v>229</v>
      </c>
      <c r="D64" s="119">
        <f>SUM(D65,D69,D74,D78)</f>
        <v>10</v>
      </c>
      <c r="E64" s="119">
        <f t="shared" ref="E64:H64" si="21">SUM(E65,E69,E74,E78)</f>
        <v>0</v>
      </c>
      <c r="F64" s="119">
        <f t="shared" si="21"/>
        <v>3</v>
      </c>
      <c r="G64" s="119">
        <f t="shared" si="21"/>
        <v>0</v>
      </c>
      <c r="H64" s="119">
        <f t="shared" si="21"/>
        <v>11</v>
      </c>
      <c r="I64" s="120">
        <f>SUM(D64:H64)</f>
        <v>24</v>
      </c>
    </row>
    <row r="65" spans="2:10" ht="24" x14ac:dyDescent="0.25">
      <c r="B65" s="149" t="s">
        <v>188</v>
      </c>
      <c r="C65" s="246" t="s">
        <v>189</v>
      </c>
      <c r="D65" s="234">
        <f>SUM(D66:D68)</f>
        <v>2</v>
      </c>
      <c r="E65" s="234">
        <f>SUM(E66:E68)</f>
        <v>0</v>
      </c>
      <c r="F65" s="234">
        <f>SUM(F66:F68)</f>
        <v>2</v>
      </c>
      <c r="G65" s="234">
        <f>SUM(G66:G68)</f>
        <v>0</v>
      </c>
      <c r="H65" s="234">
        <f>SUM(H66:H68)</f>
        <v>3</v>
      </c>
      <c r="I65" s="247">
        <f>SUM(D65:H65)</f>
        <v>7</v>
      </c>
      <c r="J65" s="248"/>
    </row>
    <row r="66" spans="2:10" x14ac:dyDescent="0.25">
      <c r="B66" s="135"/>
      <c r="C66" s="249" t="s">
        <v>190</v>
      </c>
      <c r="D66" s="234">
        <v>1</v>
      </c>
      <c r="E66" s="234">
        <v>0</v>
      </c>
      <c r="F66" s="234">
        <v>1</v>
      </c>
      <c r="G66" s="234">
        <v>0</v>
      </c>
      <c r="H66" s="234">
        <v>1</v>
      </c>
      <c r="I66" s="250"/>
      <c r="J66" s="248"/>
    </row>
    <row r="67" spans="2:10" ht="24" x14ac:dyDescent="0.25">
      <c r="B67" s="135"/>
      <c r="C67" s="249" t="s">
        <v>191</v>
      </c>
      <c r="D67" s="234">
        <v>0</v>
      </c>
      <c r="E67" s="234">
        <v>0</v>
      </c>
      <c r="F67" s="234">
        <v>0</v>
      </c>
      <c r="G67" s="234">
        <v>0</v>
      </c>
      <c r="H67" s="234">
        <v>1</v>
      </c>
      <c r="I67" s="250"/>
      <c r="J67" s="248"/>
    </row>
    <row r="68" spans="2:10" ht="24" x14ac:dyDescent="0.25">
      <c r="B68" s="150"/>
      <c r="C68" s="249" t="s">
        <v>192</v>
      </c>
      <c r="D68" s="234">
        <v>1</v>
      </c>
      <c r="E68" s="234">
        <v>0</v>
      </c>
      <c r="F68" s="234">
        <v>1</v>
      </c>
      <c r="G68" s="234">
        <v>0</v>
      </c>
      <c r="H68" s="234">
        <v>1</v>
      </c>
      <c r="I68" s="251"/>
      <c r="J68" s="248"/>
    </row>
    <row r="69" spans="2:10" ht="24" x14ac:dyDescent="0.25">
      <c r="B69" s="130" t="s">
        <v>193</v>
      </c>
      <c r="C69" s="252" t="s">
        <v>194</v>
      </c>
      <c r="D69" s="234">
        <f>SUM(D70:D73)</f>
        <v>1</v>
      </c>
      <c r="E69" s="234">
        <f>SUM(E70:E73)</f>
        <v>0</v>
      </c>
      <c r="F69" s="234">
        <f>SUM(F70:F73)</f>
        <v>1</v>
      </c>
      <c r="G69" s="234">
        <f>SUM(G70:G73)</f>
        <v>0</v>
      </c>
      <c r="H69" s="234">
        <f>SUM(H70:H73)</f>
        <v>1</v>
      </c>
      <c r="I69" s="247">
        <f>SUM(D69:H69)</f>
        <v>3</v>
      </c>
      <c r="J69" s="248"/>
    </row>
    <row r="70" spans="2:10" ht="24" x14ac:dyDescent="0.25">
      <c r="B70" s="150"/>
      <c r="C70" s="249" t="s">
        <v>195</v>
      </c>
      <c r="D70" s="234">
        <v>0</v>
      </c>
      <c r="E70" s="234">
        <v>0</v>
      </c>
      <c r="F70" s="234">
        <v>0</v>
      </c>
      <c r="G70" s="234">
        <v>0</v>
      </c>
      <c r="H70" s="234">
        <v>0</v>
      </c>
      <c r="I70" s="251"/>
      <c r="J70" s="248"/>
    </row>
    <row r="71" spans="2:10" ht="36" x14ac:dyDescent="0.25">
      <c r="B71" s="150"/>
      <c r="C71" s="249" t="s">
        <v>196</v>
      </c>
      <c r="D71" s="234">
        <v>0</v>
      </c>
      <c r="E71" s="234">
        <v>0</v>
      </c>
      <c r="F71" s="234">
        <v>0</v>
      </c>
      <c r="G71" s="234">
        <v>0</v>
      </c>
      <c r="H71" s="234">
        <v>0</v>
      </c>
      <c r="I71" s="251"/>
      <c r="J71" s="248"/>
    </row>
    <row r="72" spans="2:10" ht="36" x14ac:dyDescent="0.25">
      <c r="B72" s="150"/>
      <c r="C72" s="249" t="s">
        <v>197</v>
      </c>
      <c r="D72" s="234">
        <v>0</v>
      </c>
      <c r="E72" s="234">
        <v>0</v>
      </c>
      <c r="F72" s="234">
        <v>0</v>
      </c>
      <c r="G72" s="234">
        <v>0</v>
      </c>
      <c r="H72" s="234">
        <v>0</v>
      </c>
      <c r="I72" s="251"/>
      <c r="J72" s="248"/>
    </row>
    <row r="73" spans="2:10" ht="24" x14ac:dyDescent="0.25">
      <c r="B73" s="150"/>
      <c r="C73" s="249" t="s">
        <v>198</v>
      </c>
      <c r="D73" s="234">
        <v>1</v>
      </c>
      <c r="E73" s="234">
        <v>0</v>
      </c>
      <c r="F73" s="234">
        <v>1</v>
      </c>
      <c r="G73" s="234">
        <v>0</v>
      </c>
      <c r="H73" s="234">
        <v>1</v>
      </c>
      <c r="I73" s="251"/>
      <c r="J73" s="248"/>
    </row>
    <row r="74" spans="2:10" x14ac:dyDescent="0.25">
      <c r="B74" s="130" t="s">
        <v>199</v>
      </c>
      <c r="C74" s="252" t="s">
        <v>200</v>
      </c>
      <c r="D74" s="234">
        <f>SUM(D75:D77)</f>
        <v>1</v>
      </c>
      <c r="E74" s="234">
        <f>SUM(E75:E77)</f>
        <v>0</v>
      </c>
      <c r="F74" s="234">
        <f>SUM(F75:F77)</f>
        <v>0</v>
      </c>
      <c r="G74" s="234">
        <f>SUM(G75:G77)</f>
        <v>0</v>
      </c>
      <c r="H74" s="234">
        <f>SUM(H75:H77)</f>
        <v>1</v>
      </c>
      <c r="I74" s="247">
        <f>SUM(D74:H74)</f>
        <v>2</v>
      </c>
      <c r="J74" s="248"/>
    </row>
    <row r="75" spans="2:10" ht="24" x14ac:dyDescent="0.25">
      <c r="B75" s="150"/>
      <c r="C75" s="249" t="s">
        <v>201</v>
      </c>
      <c r="D75" s="234">
        <v>0</v>
      </c>
      <c r="E75" s="234">
        <v>0</v>
      </c>
      <c r="F75" s="234">
        <v>0</v>
      </c>
      <c r="G75" s="234">
        <v>0</v>
      </c>
      <c r="H75" s="234">
        <v>1</v>
      </c>
      <c r="I75" s="251"/>
      <c r="J75" s="248"/>
    </row>
    <row r="76" spans="2:10" x14ac:dyDescent="0.25">
      <c r="B76" s="150"/>
      <c r="C76" s="249" t="s">
        <v>202</v>
      </c>
      <c r="D76" s="234">
        <v>1</v>
      </c>
      <c r="E76" s="234">
        <v>0</v>
      </c>
      <c r="F76" s="234">
        <v>0</v>
      </c>
      <c r="G76" s="234">
        <v>0</v>
      </c>
      <c r="H76" s="234">
        <v>0</v>
      </c>
      <c r="I76" s="251"/>
      <c r="J76" s="248"/>
    </row>
    <row r="77" spans="2:10" ht="60" x14ac:dyDescent="0.25">
      <c r="B77" s="150"/>
      <c r="C77" s="249" t="s">
        <v>203</v>
      </c>
      <c r="D77" s="234">
        <v>0</v>
      </c>
      <c r="E77" s="234">
        <v>0</v>
      </c>
      <c r="F77" s="234">
        <v>0</v>
      </c>
      <c r="G77" s="234">
        <v>0</v>
      </c>
      <c r="H77" s="234">
        <v>0</v>
      </c>
      <c r="I77" s="251"/>
      <c r="J77" s="248"/>
    </row>
    <row r="78" spans="2:10" x14ac:dyDescent="0.25">
      <c r="B78" s="130" t="s">
        <v>204</v>
      </c>
      <c r="C78" s="252" t="s">
        <v>205</v>
      </c>
      <c r="D78" s="234">
        <f>SUM(D79:D82)</f>
        <v>6</v>
      </c>
      <c r="E78" s="234">
        <f>SUM(E79:E82)</f>
        <v>0</v>
      </c>
      <c r="F78" s="234">
        <f>SUM(F79:F82)</f>
        <v>0</v>
      </c>
      <c r="G78" s="234">
        <f>SUM(G79:G82)</f>
        <v>0</v>
      </c>
      <c r="H78" s="234">
        <f>SUM(H79:H82)</f>
        <v>6</v>
      </c>
      <c r="I78" s="247">
        <f>SUM(D78:H78)</f>
        <v>12</v>
      </c>
      <c r="J78" s="248"/>
    </row>
    <row r="79" spans="2:10" x14ac:dyDescent="0.25">
      <c r="B79" s="150"/>
      <c r="C79" s="249" t="s">
        <v>206</v>
      </c>
      <c r="D79" s="234">
        <v>2</v>
      </c>
      <c r="E79" s="234">
        <v>0</v>
      </c>
      <c r="F79" s="234">
        <v>0</v>
      </c>
      <c r="G79" s="234">
        <v>0</v>
      </c>
      <c r="H79" s="234">
        <v>2</v>
      </c>
      <c r="I79" s="251"/>
      <c r="J79" s="281"/>
    </row>
    <row r="80" spans="2:10" x14ac:dyDescent="0.25">
      <c r="B80" s="150"/>
      <c r="C80" s="249" t="s">
        <v>207</v>
      </c>
      <c r="D80" s="234">
        <v>2</v>
      </c>
      <c r="E80" s="234">
        <v>0</v>
      </c>
      <c r="F80" s="234">
        <v>0</v>
      </c>
      <c r="G80" s="234">
        <v>0</v>
      </c>
      <c r="H80" s="234">
        <v>2</v>
      </c>
      <c r="I80" s="251"/>
      <c r="J80" s="281"/>
    </row>
    <row r="81" spans="2:10" x14ac:dyDescent="0.25">
      <c r="B81" s="150"/>
      <c r="C81" s="249" t="s">
        <v>208</v>
      </c>
      <c r="D81" s="234">
        <v>1</v>
      </c>
      <c r="E81" s="234">
        <v>0</v>
      </c>
      <c r="F81" s="234">
        <v>0</v>
      </c>
      <c r="G81" s="234">
        <v>0</v>
      </c>
      <c r="H81" s="234">
        <v>1</v>
      </c>
      <c r="I81" s="251"/>
      <c r="J81" s="281"/>
    </row>
    <row r="82" spans="2:10" x14ac:dyDescent="0.25">
      <c r="B82" s="150"/>
      <c r="C82" s="249" t="s">
        <v>209</v>
      </c>
      <c r="D82" s="148">
        <v>1</v>
      </c>
      <c r="E82" s="253">
        <v>0</v>
      </c>
      <c r="F82" s="253">
        <v>0</v>
      </c>
      <c r="G82" s="253">
        <v>0</v>
      </c>
      <c r="H82" s="253">
        <v>1</v>
      </c>
      <c r="I82" s="251"/>
      <c r="J82" s="281"/>
    </row>
  </sheetData>
  <autoFilter ref="D3:H82"/>
  <mergeCells count="4">
    <mergeCell ref="B2:B3"/>
    <mergeCell ref="C2:C3"/>
    <mergeCell ref="D2:I2"/>
    <mergeCell ref="J79:J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7"/>
  <sheetViews>
    <sheetView zoomScale="80" zoomScaleNormal="80" zoomScaleSheetLayoutView="78" workbookViewId="0">
      <pane xSplit="4" ySplit="4" topLeftCell="M5" activePane="bottomRight" state="frozen"/>
      <selection pane="topRight" activeCell="C1" sqref="C1"/>
      <selection pane="bottomLeft" activeCell="A5" sqref="A5"/>
      <selection pane="bottomRight" activeCell="D3" sqref="D3:D4"/>
    </sheetView>
  </sheetViews>
  <sheetFormatPr defaultColWidth="9.140625" defaultRowHeight="12.75" x14ac:dyDescent="0.25"/>
  <cols>
    <col min="1" max="2" width="9.28515625" style="42" customWidth="1"/>
    <col min="3" max="3" width="5.85546875" style="42" customWidth="1"/>
    <col min="4" max="4" width="49.140625" style="42" customWidth="1"/>
    <col min="5" max="5" width="7.85546875" style="42" customWidth="1"/>
    <col min="6" max="6" width="7" style="42" customWidth="1"/>
    <col min="7" max="7" width="7.42578125" style="42" customWidth="1"/>
    <col min="8" max="9" width="7" style="42" customWidth="1"/>
    <col min="10" max="16" width="8.42578125" style="42" customWidth="1"/>
    <col min="17" max="17" width="13.85546875" style="42" customWidth="1"/>
    <col min="18" max="19" width="11" style="42" customWidth="1"/>
    <col min="20" max="20" width="6.42578125" style="42" customWidth="1"/>
    <col min="21" max="22" width="7" style="42" customWidth="1"/>
    <col min="23" max="23" width="5.5703125" style="42" customWidth="1"/>
    <col min="24" max="24" width="5.28515625" style="42" customWidth="1"/>
    <col min="25" max="25" width="7.28515625" style="42" customWidth="1"/>
    <col min="26" max="26" width="6.7109375" style="42" customWidth="1"/>
    <col min="27" max="27" width="11.7109375" style="42" customWidth="1"/>
    <col min="28" max="16384" width="9.140625" style="42"/>
  </cols>
  <sheetData>
    <row r="2" spans="1:27" ht="13.5" thickBot="1" x14ac:dyDescent="0.3"/>
    <row r="3" spans="1:27" ht="36" customHeight="1" x14ac:dyDescent="0.25">
      <c r="C3" s="282" t="s">
        <v>1</v>
      </c>
      <c r="D3" s="284" t="s">
        <v>104</v>
      </c>
      <c r="E3" s="284" t="s">
        <v>85</v>
      </c>
      <c r="F3" s="284"/>
      <c r="G3" s="284"/>
      <c r="H3" s="284"/>
      <c r="I3" s="284"/>
      <c r="J3" s="288"/>
      <c r="K3" s="282" t="s">
        <v>86</v>
      </c>
      <c r="L3" s="284"/>
      <c r="M3" s="284"/>
      <c r="N3" s="284"/>
      <c r="O3" s="284"/>
      <c r="P3" s="288"/>
      <c r="Q3" s="289" t="s">
        <v>3</v>
      </c>
      <c r="R3" s="286" t="s">
        <v>2</v>
      </c>
      <c r="S3" s="291" t="s">
        <v>4</v>
      </c>
      <c r="T3" s="293" t="s">
        <v>5</v>
      </c>
      <c r="U3" s="294"/>
      <c r="V3" s="294"/>
      <c r="W3" s="294"/>
      <c r="X3" s="294"/>
      <c r="Y3" s="294"/>
      <c r="Z3" s="295"/>
      <c r="AA3" s="286" t="s">
        <v>10</v>
      </c>
    </row>
    <row r="4" spans="1:27" ht="33.75" customHeight="1" thickBot="1" x14ac:dyDescent="0.3">
      <c r="A4" s="48"/>
      <c r="B4" s="48"/>
      <c r="C4" s="283"/>
      <c r="D4" s="285"/>
      <c r="E4" s="106" t="s">
        <v>87</v>
      </c>
      <c r="F4" s="106" t="s">
        <v>88</v>
      </c>
      <c r="G4" s="106" t="s">
        <v>89</v>
      </c>
      <c r="H4" s="106" t="s">
        <v>90</v>
      </c>
      <c r="I4" s="106" t="s">
        <v>91</v>
      </c>
      <c r="J4" s="107" t="s">
        <v>0</v>
      </c>
      <c r="K4" s="108" t="s">
        <v>92</v>
      </c>
      <c r="L4" s="106" t="s">
        <v>93</v>
      </c>
      <c r="M4" s="106" t="s">
        <v>94</v>
      </c>
      <c r="N4" s="106" t="s">
        <v>95</v>
      </c>
      <c r="O4" s="106" t="s">
        <v>96</v>
      </c>
      <c r="P4" s="107" t="s">
        <v>0</v>
      </c>
      <c r="Q4" s="290"/>
      <c r="R4" s="287"/>
      <c r="S4" s="292"/>
      <c r="T4" s="108" t="s">
        <v>97</v>
      </c>
      <c r="U4" s="106" t="s">
        <v>98</v>
      </c>
      <c r="V4" s="106" t="s">
        <v>99</v>
      </c>
      <c r="W4" s="106" t="s">
        <v>100</v>
      </c>
      <c r="X4" s="106" t="s">
        <v>101</v>
      </c>
      <c r="Y4" s="106" t="s">
        <v>102</v>
      </c>
      <c r="Z4" s="106" t="s">
        <v>103</v>
      </c>
      <c r="AA4" s="287"/>
    </row>
    <row r="5" spans="1:27" s="105" customFormat="1" ht="36.75" thickBot="1" x14ac:dyDescent="0.3">
      <c r="A5" s="61"/>
      <c r="B5" s="61"/>
      <c r="C5" s="96"/>
      <c r="D5" s="115" t="s">
        <v>258</v>
      </c>
      <c r="E5" s="97">
        <f>SUM(E6:E11)</f>
        <v>61</v>
      </c>
      <c r="F5" s="97">
        <f t="shared" ref="F5:I5" si="0">SUM(F6:F11)</f>
        <v>19</v>
      </c>
      <c r="G5" s="97">
        <f t="shared" si="0"/>
        <v>17</v>
      </c>
      <c r="H5" s="97">
        <f t="shared" si="0"/>
        <v>6</v>
      </c>
      <c r="I5" s="97">
        <f t="shared" si="0"/>
        <v>41</v>
      </c>
      <c r="J5" s="93">
        <f>SUM(J6:J11)</f>
        <v>144</v>
      </c>
      <c r="K5" s="98">
        <f>SUM(K6:K11)</f>
        <v>671</v>
      </c>
      <c r="L5" s="98">
        <f t="shared" ref="L5:O5" si="1">SUM(L6:L11)</f>
        <v>152</v>
      </c>
      <c r="M5" s="98">
        <f t="shared" si="1"/>
        <v>85</v>
      </c>
      <c r="N5" s="98">
        <f t="shared" si="1"/>
        <v>30</v>
      </c>
      <c r="O5" s="98">
        <f t="shared" si="1"/>
        <v>164</v>
      </c>
      <c r="P5" s="98">
        <f>SUM(P6:P11)</f>
        <v>1102</v>
      </c>
      <c r="Q5" s="99"/>
      <c r="R5" s="100"/>
      <c r="S5" s="94">
        <f>SUM(S6:S11)</f>
        <v>58.405999999999999</v>
      </c>
      <c r="T5" s="101"/>
      <c r="U5" s="102"/>
      <c r="V5" s="102"/>
      <c r="W5" s="103"/>
      <c r="X5" s="102"/>
      <c r="Y5" s="104"/>
      <c r="Z5" s="104"/>
      <c r="AA5" s="95">
        <f>SUM(AA6:AA11)</f>
        <v>323.31499999999994</v>
      </c>
    </row>
    <row r="6" spans="1:27" ht="25.5" x14ac:dyDescent="0.25">
      <c r="A6" s="48"/>
      <c r="B6" s="48"/>
      <c r="C6" s="77">
        <v>1</v>
      </c>
      <c r="D6" s="78" t="s">
        <v>160</v>
      </c>
      <c r="E6" s="79">
        <f>'ФТ '!D5</f>
        <v>9</v>
      </c>
      <c r="F6" s="80">
        <f>'ФТ '!E5</f>
        <v>7</v>
      </c>
      <c r="G6" s="80">
        <f>'ФТ '!F5</f>
        <v>1</v>
      </c>
      <c r="H6" s="80">
        <f>'ФТ '!G5</f>
        <v>0</v>
      </c>
      <c r="I6" s="80">
        <f>'ФТ '!H5</f>
        <v>0</v>
      </c>
      <c r="J6" s="81">
        <f t="shared" ref="J6" si="2">SUM(E6:I6)</f>
        <v>17</v>
      </c>
      <c r="K6" s="82">
        <f t="shared" ref="K6" si="3">E6*11</f>
        <v>99</v>
      </c>
      <c r="L6" s="83">
        <f t="shared" ref="L6" si="4">F6*8</f>
        <v>56</v>
      </c>
      <c r="M6" s="83">
        <f t="shared" ref="M6" si="5">G6*5</f>
        <v>5</v>
      </c>
      <c r="N6" s="83">
        <f t="shared" ref="N6" si="6">H6*5</f>
        <v>0</v>
      </c>
      <c r="O6" s="83">
        <f t="shared" ref="O6" si="7">I6*4</f>
        <v>0</v>
      </c>
      <c r="P6" s="84">
        <f t="shared" ref="P6" si="8">SUM(K6:O6)</f>
        <v>160</v>
      </c>
      <c r="Q6" s="85" t="s">
        <v>84</v>
      </c>
      <c r="R6" s="86">
        <v>53</v>
      </c>
      <c r="S6" s="87">
        <f t="shared" ref="S6" si="9">P6*R6/1000</f>
        <v>8.48</v>
      </c>
      <c r="T6" s="88">
        <v>1</v>
      </c>
      <c r="U6" s="89">
        <v>1.07</v>
      </c>
      <c r="V6" s="89">
        <v>0.95</v>
      </c>
      <c r="W6" s="90">
        <v>1.1499999999999999</v>
      </c>
      <c r="X6" s="90">
        <v>1</v>
      </c>
      <c r="Y6" s="91">
        <v>1.1499999999999999</v>
      </c>
      <c r="Z6" s="91">
        <v>0.97</v>
      </c>
      <c r="AA6" s="92">
        <f>ROUND(5.17*POWER(S6,0.94)*T6*U6*V6*W6*X6*Y6*Z6,3)</f>
        <v>50.286999999999999</v>
      </c>
    </row>
    <row r="7" spans="1:27" ht="25.5" x14ac:dyDescent="0.25">
      <c r="A7" s="48"/>
      <c r="B7" s="48"/>
      <c r="C7" s="56">
        <v>2</v>
      </c>
      <c r="D7" s="57" t="s">
        <v>161</v>
      </c>
      <c r="E7" s="58">
        <f>'ФТ '!D16</f>
        <v>17</v>
      </c>
      <c r="F7" s="59">
        <f>'ФТ '!E16</f>
        <v>9</v>
      </c>
      <c r="G7" s="59">
        <f>'ФТ '!F16</f>
        <v>2</v>
      </c>
      <c r="H7" s="59">
        <f>'ФТ '!G16</f>
        <v>0</v>
      </c>
      <c r="I7" s="59">
        <f>'ФТ '!H16</f>
        <v>7</v>
      </c>
      <c r="J7" s="62">
        <f t="shared" ref="J7" si="10">SUM(E7:I7)</f>
        <v>35</v>
      </c>
      <c r="K7" s="64">
        <f t="shared" ref="K7:K10" si="11">E7*11</f>
        <v>187</v>
      </c>
      <c r="L7" s="44">
        <f t="shared" ref="L7:L10" si="12">F7*8</f>
        <v>72</v>
      </c>
      <c r="M7" s="44">
        <f t="shared" ref="M7:M10" si="13">G7*5</f>
        <v>10</v>
      </c>
      <c r="N7" s="44">
        <f t="shared" ref="N7:N10" si="14">H7*5</f>
        <v>0</v>
      </c>
      <c r="O7" s="44">
        <f t="shared" ref="O7:O10" si="15">I7*4</f>
        <v>28</v>
      </c>
      <c r="P7" s="65">
        <f t="shared" ref="P7" si="16">SUM(K7:O7)</f>
        <v>297</v>
      </c>
      <c r="Q7" s="69" t="s">
        <v>84</v>
      </c>
      <c r="R7" s="70">
        <v>53</v>
      </c>
      <c r="S7" s="75">
        <f t="shared" ref="S7:S11" si="17">P7*R7/1000</f>
        <v>15.741</v>
      </c>
      <c r="T7" s="73">
        <v>1</v>
      </c>
      <c r="U7" s="45">
        <v>1.07</v>
      </c>
      <c r="V7" s="45">
        <v>0.95</v>
      </c>
      <c r="W7" s="145">
        <v>1.1499999999999999</v>
      </c>
      <c r="X7" s="46">
        <v>1</v>
      </c>
      <c r="Y7" s="47">
        <v>1.1499999999999999</v>
      </c>
      <c r="Z7" s="47">
        <v>0.97</v>
      </c>
      <c r="AA7" s="49">
        <f t="shared" ref="AA7:AA11" si="18">ROUND(5.17*POWER(S7,0.94)*T7*U7*V7*W7*X7*Y7*Z7,3)</f>
        <v>89.944999999999993</v>
      </c>
    </row>
    <row r="8" spans="1:27" ht="25.5" x14ac:dyDescent="0.25">
      <c r="A8" s="48"/>
      <c r="B8" s="48"/>
      <c r="C8" s="56">
        <v>3</v>
      </c>
      <c r="D8" s="57" t="s">
        <v>162</v>
      </c>
      <c r="E8" s="58">
        <f>'ФТ '!D32</f>
        <v>6</v>
      </c>
      <c r="F8" s="59">
        <f>'ФТ '!E32</f>
        <v>0</v>
      </c>
      <c r="G8" s="59">
        <f>'ФТ '!F32</f>
        <v>6</v>
      </c>
      <c r="H8" s="59">
        <f>'ФТ '!G32</f>
        <v>0</v>
      </c>
      <c r="I8" s="59">
        <f>'ФТ '!H32</f>
        <v>6</v>
      </c>
      <c r="J8" s="62">
        <f t="shared" ref="J8:J9" si="19">SUM(E8:I8)</f>
        <v>18</v>
      </c>
      <c r="K8" s="64">
        <f t="shared" si="11"/>
        <v>66</v>
      </c>
      <c r="L8" s="44">
        <f t="shared" si="12"/>
        <v>0</v>
      </c>
      <c r="M8" s="44">
        <f t="shared" si="13"/>
        <v>30</v>
      </c>
      <c r="N8" s="44">
        <f t="shared" si="14"/>
        <v>0</v>
      </c>
      <c r="O8" s="44">
        <f t="shared" si="15"/>
        <v>24</v>
      </c>
      <c r="P8" s="65">
        <f t="shared" ref="P8:P10" si="20">SUM(K8:O8)</f>
        <v>120</v>
      </c>
      <c r="Q8" s="69" t="s">
        <v>84</v>
      </c>
      <c r="R8" s="70">
        <v>53</v>
      </c>
      <c r="S8" s="75">
        <f t="shared" si="17"/>
        <v>6.36</v>
      </c>
      <c r="T8" s="73">
        <v>1</v>
      </c>
      <c r="U8" s="45">
        <v>1.07</v>
      </c>
      <c r="V8" s="45">
        <v>0.95</v>
      </c>
      <c r="W8" s="145">
        <v>0.85</v>
      </c>
      <c r="X8" s="46">
        <v>1</v>
      </c>
      <c r="Y8" s="47">
        <v>1.1499999999999999</v>
      </c>
      <c r="Z8" s="47">
        <v>0.97</v>
      </c>
      <c r="AA8" s="49">
        <f t="shared" si="18"/>
        <v>28.361999999999998</v>
      </c>
    </row>
    <row r="9" spans="1:27" ht="25.5" x14ac:dyDescent="0.25">
      <c r="A9" s="48"/>
      <c r="B9" s="48"/>
      <c r="C9" s="56">
        <v>4</v>
      </c>
      <c r="D9" s="57" t="s">
        <v>163</v>
      </c>
      <c r="E9" s="58">
        <f>'ФТ '!D34</f>
        <v>15</v>
      </c>
      <c r="F9" s="59">
        <f>'ФТ '!E34</f>
        <v>3</v>
      </c>
      <c r="G9" s="59">
        <f>'ФТ '!F34</f>
        <v>2</v>
      </c>
      <c r="H9" s="59">
        <f>'ФТ '!G34</f>
        <v>1</v>
      </c>
      <c r="I9" s="59">
        <f>'ФТ '!H34</f>
        <v>14</v>
      </c>
      <c r="J9" s="62">
        <f t="shared" si="19"/>
        <v>35</v>
      </c>
      <c r="K9" s="64">
        <f t="shared" si="11"/>
        <v>165</v>
      </c>
      <c r="L9" s="44">
        <f t="shared" si="12"/>
        <v>24</v>
      </c>
      <c r="M9" s="44">
        <f t="shared" si="13"/>
        <v>10</v>
      </c>
      <c r="N9" s="44">
        <f t="shared" si="14"/>
        <v>5</v>
      </c>
      <c r="O9" s="44">
        <f t="shared" si="15"/>
        <v>56</v>
      </c>
      <c r="P9" s="65">
        <f t="shared" si="20"/>
        <v>260</v>
      </c>
      <c r="Q9" s="69" t="s">
        <v>84</v>
      </c>
      <c r="R9" s="70">
        <v>53</v>
      </c>
      <c r="S9" s="75">
        <f t="shared" si="17"/>
        <v>13.78</v>
      </c>
      <c r="T9" s="73">
        <v>1</v>
      </c>
      <c r="U9" s="45">
        <v>1.07</v>
      </c>
      <c r="V9" s="45">
        <v>0.95</v>
      </c>
      <c r="W9" s="145">
        <v>1.1499999999999999</v>
      </c>
      <c r="X9" s="46">
        <v>1</v>
      </c>
      <c r="Y9" s="47">
        <v>1.1499999999999999</v>
      </c>
      <c r="Z9" s="47">
        <v>0.97</v>
      </c>
      <c r="AA9" s="49">
        <f t="shared" si="18"/>
        <v>79.370999999999995</v>
      </c>
    </row>
    <row r="10" spans="1:27" ht="25.5" x14ac:dyDescent="0.25">
      <c r="A10" s="60"/>
      <c r="B10" s="43"/>
      <c r="C10" s="56">
        <v>5</v>
      </c>
      <c r="D10" s="57" t="s">
        <v>164</v>
      </c>
      <c r="E10" s="58">
        <f>'ФТ '!D54</f>
        <v>4</v>
      </c>
      <c r="F10" s="59">
        <f>'ФТ '!E54</f>
        <v>0</v>
      </c>
      <c r="G10" s="59">
        <f>'ФТ '!F54</f>
        <v>3</v>
      </c>
      <c r="H10" s="59">
        <f>'ФТ '!G54</f>
        <v>5</v>
      </c>
      <c r="I10" s="59">
        <f>'ФТ '!H54</f>
        <v>3</v>
      </c>
      <c r="J10" s="62">
        <f t="shared" ref="J10:J11" si="21">SUM(E10:I10)</f>
        <v>15</v>
      </c>
      <c r="K10" s="64">
        <f t="shared" si="11"/>
        <v>44</v>
      </c>
      <c r="L10" s="44">
        <f t="shared" si="12"/>
        <v>0</v>
      </c>
      <c r="M10" s="44">
        <f t="shared" si="13"/>
        <v>15</v>
      </c>
      <c r="N10" s="44">
        <f t="shared" si="14"/>
        <v>25</v>
      </c>
      <c r="O10" s="44">
        <f t="shared" si="15"/>
        <v>12</v>
      </c>
      <c r="P10" s="65">
        <f t="shared" si="20"/>
        <v>96</v>
      </c>
      <c r="Q10" s="69" t="s">
        <v>84</v>
      </c>
      <c r="R10" s="70">
        <v>53</v>
      </c>
      <c r="S10" s="75">
        <f t="shared" si="17"/>
        <v>5.0880000000000001</v>
      </c>
      <c r="T10" s="73">
        <v>1</v>
      </c>
      <c r="U10" s="45">
        <v>1.07</v>
      </c>
      <c r="V10" s="45">
        <v>0.95</v>
      </c>
      <c r="W10" s="145">
        <v>1</v>
      </c>
      <c r="X10" s="46">
        <v>1</v>
      </c>
      <c r="Y10" s="47">
        <v>1.1499999999999999</v>
      </c>
      <c r="Z10" s="47">
        <v>1</v>
      </c>
      <c r="AA10" s="49">
        <f t="shared" si="18"/>
        <v>27.89</v>
      </c>
    </row>
    <row r="11" spans="1:27" ht="26.25" thickBot="1" x14ac:dyDescent="0.3">
      <c r="A11" s="154"/>
      <c r="B11" s="43"/>
      <c r="C11" s="137">
        <v>6</v>
      </c>
      <c r="D11" s="138" t="s">
        <v>229</v>
      </c>
      <c r="E11" s="139">
        <f>'ФТ '!D64</f>
        <v>10</v>
      </c>
      <c r="F11" s="140">
        <f>'ФТ '!E64</f>
        <v>0</v>
      </c>
      <c r="G11" s="140">
        <f>'ФТ '!F64</f>
        <v>3</v>
      </c>
      <c r="H11" s="140">
        <f>'ФТ '!G64</f>
        <v>0</v>
      </c>
      <c r="I11" s="140">
        <f>'ФТ '!H64</f>
        <v>11</v>
      </c>
      <c r="J11" s="63">
        <f t="shared" si="21"/>
        <v>24</v>
      </c>
      <c r="K11" s="66">
        <f t="shared" ref="K11" si="22">E11*11</f>
        <v>110</v>
      </c>
      <c r="L11" s="67">
        <f t="shared" ref="L11" si="23">F11*8</f>
        <v>0</v>
      </c>
      <c r="M11" s="67">
        <f t="shared" ref="M11" si="24">G11*5</f>
        <v>15</v>
      </c>
      <c r="N11" s="67">
        <f t="shared" ref="N11" si="25">H11*5</f>
        <v>0</v>
      </c>
      <c r="O11" s="67">
        <f t="shared" ref="O11" si="26">I11*4</f>
        <v>44</v>
      </c>
      <c r="P11" s="68">
        <f t="shared" ref="P11" si="27">SUM(K11:O11)</f>
        <v>169</v>
      </c>
      <c r="Q11" s="71" t="s">
        <v>84</v>
      </c>
      <c r="R11" s="72">
        <v>53</v>
      </c>
      <c r="S11" s="76">
        <f t="shared" si="17"/>
        <v>8.9570000000000007</v>
      </c>
      <c r="T11" s="141">
        <v>1</v>
      </c>
      <c r="U11" s="142">
        <v>1.07</v>
      </c>
      <c r="V11" s="142">
        <v>0.95</v>
      </c>
      <c r="W11" s="245">
        <v>1</v>
      </c>
      <c r="X11" s="143">
        <v>1</v>
      </c>
      <c r="Y11" s="144">
        <v>1.1499999999999999</v>
      </c>
      <c r="Z11" s="144">
        <v>1</v>
      </c>
      <c r="AA11" s="74">
        <f t="shared" si="18"/>
        <v>47.46</v>
      </c>
    </row>
    <row r="14" spans="1:27" x14ac:dyDescent="0.25">
      <c r="D14" s="109"/>
      <c r="E14" s="110"/>
      <c r="F14" s="110"/>
      <c r="G14" s="110"/>
      <c r="H14" s="110"/>
      <c r="I14" s="110"/>
      <c r="J14" s="110"/>
      <c r="K14" s="110"/>
    </row>
    <row r="15" spans="1:27" x14ac:dyDescent="0.25">
      <c r="D15" s="109"/>
      <c r="E15" s="110"/>
      <c r="F15" s="110"/>
      <c r="G15" s="110"/>
      <c r="H15" s="110"/>
      <c r="I15" s="110"/>
      <c r="J15" s="110"/>
      <c r="K15" s="110"/>
    </row>
    <row r="16" spans="1:27" x14ac:dyDescent="0.25">
      <c r="D16" s="109"/>
      <c r="E16" s="110"/>
      <c r="F16" s="110"/>
      <c r="G16" s="110"/>
      <c r="H16" s="110"/>
      <c r="I16" s="110"/>
      <c r="J16" s="110"/>
      <c r="K16" s="110"/>
    </row>
    <row r="17" spans="4:11" x14ac:dyDescent="0.25">
      <c r="D17" s="109"/>
      <c r="E17" s="110"/>
      <c r="F17" s="110"/>
      <c r="G17" s="110"/>
      <c r="H17" s="110"/>
      <c r="I17" s="110"/>
      <c r="J17" s="110"/>
      <c r="K17" s="110"/>
    </row>
    <row r="18" spans="4:11" x14ac:dyDescent="0.25">
      <c r="D18" s="109"/>
      <c r="E18" s="110"/>
      <c r="F18" s="110"/>
      <c r="G18" s="110"/>
      <c r="H18" s="110"/>
      <c r="I18" s="110"/>
      <c r="J18" s="110"/>
      <c r="K18" s="110"/>
    </row>
    <row r="19" spans="4:11" x14ac:dyDescent="0.25">
      <c r="D19" s="109"/>
      <c r="E19" s="110"/>
      <c r="F19" s="110"/>
      <c r="G19" s="110"/>
      <c r="H19" s="110"/>
      <c r="I19" s="110"/>
      <c r="J19" s="110"/>
      <c r="K19" s="110"/>
    </row>
    <row r="20" spans="4:11" x14ac:dyDescent="0.25">
      <c r="D20" s="109"/>
      <c r="E20" s="110"/>
      <c r="F20" s="110"/>
      <c r="G20" s="110"/>
      <c r="H20" s="110"/>
      <c r="I20" s="110"/>
      <c r="J20" s="110"/>
      <c r="K20" s="110"/>
    </row>
    <row r="21" spans="4:11" x14ac:dyDescent="0.25">
      <c r="D21" s="109"/>
      <c r="E21" s="110"/>
      <c r="F21" s="110"/>
      <c r="G21" s="110"/>
      <c r="H21" s="110"/>
      <c r="I21" s="110"/>
      <c r="J21" s="110"/>
      <c r="K21" s="110"/>
    </row>
    <row r="22" spans="4:11" x14ac:dyDescent="0.25">
      <c r="D22" s="109"/>
      <c r="E22" s="110"/>
      <c r="F22" s="110"/>
      <c r="G22" s="110"/>
      <c r="H22" s="110"/>
      <c r="I22" s="110"/>
      <c r="J22" s="110"/>
      <c r="K22" s="110"/>
    </row>
    <row r="23" spans="4:11" x14ac:dyDescent="0.25">
      <c r="D23" s="109"/>
      <c r="E23" s="111"/>
      <c r="F23" s="111"/>
      <c r="G23" s="111"/>
      <c r="H23" s="111"/>
      <c r="I23" s="111"/>
      <c r="J23" s="110"/>
      <c r="K23" s="110"/>
    </row>
    <row r="24" spans="4:11" x14ac:dyDescent="0.25">
      <c r="D24" s="110"/>
      <c r="E24" s="111"/>
      <c r="F24" s="111"/>
      <c r="G24" s="111"/>
      <c r="H24" s="111"/>
      <c r="I24" s="111"/>
      <c r="J24" s="110"/>
      <c r="K24" s="110"/>
    </row>
    <row r="25" spans="4:11" x14ac:dyDescent="0.25">
      <c r="D25" s="110"/>
      <c r="E25" s="111"/>
      <c r="F25" s="111"/>
      <c r="G25" s="111"/>
      <c r="H25" s="111"/>
      <c r="I25" s="111"/>
      <c r="J25" s="110"/>
      <c r="K25" s="110"/>
    </row>
    <row r="26" spans="4:11" x14ac:dyDescent="0.25">
      <c r="D26" s="110"/>
      <c r="E26" s="111"/>
      <c r="F26" s="111"/>
      <c r="G26" s="111"/>
      <c r="H26" s="111"/>
      <c r="I26" s="111"/>
      <c r="J26" s="110"/>
      <c r="K26" s="110"/>
    </row>
    <row r="27" spans="4:11" x14ac:dyDescent="0.25">
      <c r="D27" s="110"/>
      <c r="E27" s="111"/>
      <c r="F27" s="111"/>
      <c r="G27" s="111"/>
      <c r="H27" s="111"/>
      <c r="I27" s="111"/>
      <c r="J27" s="110"/>
      <c r="K27" s="110"/>
    </row>
    <row r="28" spans="4:11" x14ac:dyDescent="0.25">
      <c r="D28" s="110"/>
      <c r="E28" s="111"/>
      <c r="F28" s="111"/>
      <c r="G28" s="111"/>
      <c r="H28" s="111"/>
      <c r="I28" s="111"/>
      <c r="J28" s="110"/>
      <c r="K28" s="110"/>
    </row>
    <row r="29" spans="4:11" x14ac:dyDescent="0.25">
      <c r="D29" s="110"/>
      <c r="E29" s="111"/>
      <c r="F29" s="111"/>
      <c r="G29" s="111"/>
      <c r="H29" s="111"/>
      <c r="I29" s="111"/>
      <c r="J29" s="110"/>
      <c r="K29" s="110"/>
    </row>
    <row r="30" spans="4:11" x14ac:dyDescent="0.25">
      <c r="D30" s="110"/>
      <c r="E30" s="111"/>
      <c r="F30" s="111"/>
      <c r="G30" s="111"/>
      <c r="H30" s="111"/>
      <c r="I30" s="111"/>
      <c r="J30" s="110"/>
      <c r="K30" s="110"/>
    </row>
    <row r="31" spans="4:11" x14ac:dyDescent="0.25">
      <c r="D31" s="110"/>
      <c r="E31" s="111"/>
      <c r="F31" s="111"/>
      <c r="G31" s="111"/>
      <c r="H31" s="111"/>
      <c r="I31" s="111"/>
      <c r="J31" s="110"/>
      <c r="K31" s="110"/>
    </row>
    <row r="32" spans="4:11" x14ac:dyDescent="0.25">
      <c r="D32" s="110"/>
      <c r="E32" s="111"/>
      <c r="F32" s="111"/>
      <c r="G32" s="111"/>
      <c r="H32" s="111"/>
      <c r="I32" s="111"/>
      <c r="J32" s="110"/>
      <c r="K32" s="110"/>
    </row>
    <row r="33" spans="4:11" x14ac:dyDescent="0.25">
      <c r="D33" s="110"/>
      <c r="E33" s="111"/>
      <c r="F33" s="111"/>
      <c r="G33" s="111"/>
      <c r="H33" s="111"/>
      <c r="I33" s="111"/>
      <c r="J33" s="110"/>
      <c r="K33" s="110"/>
    </row>
    <row r="34" spans="4:11" x14ac:dyDescent="0.25">
      <c r="D34" s="110"/>
      <c r="E34" s="111"/>
      <c r="F34" s="111"/>
      <c r="G34" s="111"/>
      <c r="H34" s="111"/>
      <c r="I34" s="111"/>
      <c r="J34" s="110"/>
      <c r="K34" s="110"/>
    </row>
    <row r="35" spans="4:11" x14ac:dyDescent="0.25">
      <c r="D35" s="110"/>
      <c r="E35" s="110"/>
      <c r="F35" s="110"/>
      <c r="G35" s="110"/>
      <c r="H35" s="110"/>
      <c r="I35" s="110"/>
      <c r="J35" s="110"/>
      <c r="K35" s="110"/>
    </row>
    <row r="36" spans="4:11" x14ac:dyDescent="0.25">
      <c r="D36" s="110"/>
      <c r="E36" s="110"/>
      <c r="F36" s="110"/>
      <c r="G36" s="110"/>
      <c r="H36" s="110"/>
      <c r="I36" s="110"/>
      <c r="J36" s="110"/>
      <c r="K36" s="110"/>
    </row>
    <row r="37" spans="4:11" x14ac:dyDescent="0.25">
      <c r="D37" s="110"/>
      <c r="E37" s="110"/>
      <c r="F37" s="110"/>
      <c r="G37" s="110"/>
      <c r="H37" s="110"/>
      <c r="I37" s="110"/>
      <c r="J37" s="110"/>
      <c r="K37" s="110"/>
    </row>
  </sheetData>
  <mergeCells count="9">
    <mergeCell ref="C3:C4"/>
    <mergeCell ref="D3:D4"/>
    <mergeCell ref="AA3:AA4"/>
    <mergeCell ref="E3:J3"/>
    <mergeCell ref="K3:P3"/>
    <mergeCell ref="Q3:Q4"/>
    <mergeCell ref="R3:R4"/>
    <mergeCell ref="S3:S4"/>
    <mergeCell ref="T3:Z3"/>
  </mergeCells>
  <pageMargins left="0.27559055118110237" right="0.11811023622047245" top="0.74803149606299213" bottom="0.27559055118110237" header="0.31496062992125984" footer="0.31496062992125984"/>
  <pageSetup paperSize="9" scale="46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8" zoomScale="90" zoomScaleNormal="90" workbookViewId="0">
      <selection activeCell="E36" sqref="E36"/>
    </sheetView>
  </sheetViews>
  <sheetFormatPr defaultColWidth="9.140625" defaultRowHeight="12.75" x14ac:dyDescent="0.25"/>
  <cols>
    <col min="1" max="1" width="5.140625" style="42" customWidth="1"/>
    <col min="2" max="2" width="39.28515625" style="42" customWidth="1"/>
    <col min="3" max="4" width="18.140625" style="42" customWidth="1"/>
    <col min="5" max="5" width="15" style="42" customWidth="1"/>
    <col min="6" max="6" width="15.140625" style="42" customWidth="1"/>
    <col min="7" max="7" width="14.7109375" style="42" customWidth="1"/>
    <col min="8" max="8" width="11.140625" style="42" bestFit="1" customWidth="1"/>
    <col min="9" max="9" width="9" style="42" bestFit="1" customWidth="1"/>
    <col min="10" max="16384" width="9.140625" style="42"/>
  </cols>
  <sheetData>
    <row r="1" spans="1:10" ht="32.450000000000003" customHeight="1" x14ac:dyDescent="0.25">
      <c r="A1" s="155"/>
      <c r="B1" s="296" t="s">
        <v>165</v>
      </c>
      <c r="C1" s="296"/>
      <c r="D1" s="296"/>
      <c r="E1" s="296"/>
      <c r="F1" s="296"/>
      <c r="G1" s="296"/>
      <c r="H1" s="296"/>
      <c r="I1" s="296"/>
      <c r="J1" s="296"/>
    </row>
    <row r="3" spans="1:10" x14ac:dyDescent="0.25">
      <c r="A3" s="16"/>
      <c r="B3" s="17" t="s">
        <v>16</v>
      </c>
      <c r="C3" s="16"/>
      <c r="D3" s="16"/>
      <c r="E3" s="16"/>
      <c r="F3" s="16"/>
    </row>
    <row r="4" spans="1:10" ht="13.5" thickBot="1" x14ac:dyDescent="0.3">
      <c r="A4" s="16"/>
      <c r="B4" s="16"/>
      <c r="C4" s="16"/>
      <c r="D4" s="16"/>
      <c r="E4" s="16"/>
      <c r="F4" s="16"/>
    </row>
    <row r="5" spans="1:10" ht="25.5" x14ac:dyDescent="0.25">
      <c r="A5" s="8" t="s">
        <v>11</v>
      </c>
      <c r="B5" s="9" t="s">
        <v>28</v>
      </c>
      <c r="C5" s="9" t="s">
        <v>12</v>
      </c>
      <c r="D5" s="9" t="s">
        <v>13</v>
      </c>
      <c r="E5" s="9" t="s">
        <v>14</v>
      </c>
      <c r="F5" s="10" t="s">
        <v>15</v>
      </c>
    </row>
    <row r="6" spans="1:10" ht="13.5" thickBot="1" x14ac:dyDescent="0.3">
      <c r="A6" s="18">
        <v>1</v>
      </c>
      <c r="B6" s="19">
        <v>78300</v>
      </c>
      <c r="C6" s="19">
        <v>1.05</v>
      </c>
      <c r="D6" s="19">
        <v>0.65</v>
      </c>
      <c r="E6" s="20">
        <f>ROUND(1.039*1.024*(1+8/12*0.0225),3)</f>
        <v>1.08</v>
      </c>
      <c r="F6" s="21">
        <f>ROUND(B6*C6/D6*E6,2)</f>
        <v>136603.38</v>
      </c>
    </row>
    <row r="7" spans="1:10" x14ac:dyDescent="0.25">
      <c r="A7" s="16"/>
      <c r="B7" s="16"/>
      <c r="C7" s="16"/>
      <c r="D7" s="16"/>
      <c r="E7" s="16"/>
      <c r="F7" s="16"/>
    </row>
    <row r="8" spans="1:10" x14ac:dyDescent="0.25">
      <c r="A8" s="16"/>
      <c r="B8" s="16" t="s">
        <v>83</v>
      </c>
      <c r="C8" s="146">
        <v>300</v>
      </c>
      <c r="E8" s="22">
        <v>620</v>
      </c>
      <c r="F8" s="16" t="s">
        <v>183</v>
      </c>
    </row>
    <row r="9" spans="1:10" ht="14.25" x14ac:dyDescent="0.25">
      <c r="A9" s="16"/>
      <c r="B9" s="11" t="s">
        <v>73</v>
      </c>
      <c r="C9" s="23">
        <f>ROUND(C8/365*12,2)</f>
        <v>9.86</v>
      </c>
      <c r="D9" s="16"/>
      <c r="E9" s="16"/>
      <c r="F9" s="16"/>
    </row>
    <row r="10" spans="1:10" ht="14.25" x14ac:dyDescent="0.25">
      <c r="A10" s="16"/>
      <c r="B10" s="24" t="s">
        <v>74</v>
      </c>
      <c r="C10" s="16">
        <f>ROUND(Трудоемкость!AA5/C9,2)</f>
        <v>32.79</v>
      </c>
      <c r="D10" s="16"/>
      <c r="E10" s="16"/>
      <c r="F10" s="16"/>
    </row>
    <row r="11" spans="1:10" x14ac:dyDescent="0.25">
      <c r="A11" s="16"/>
      <c r="B11" s="16"/>
      <c r="C11" s="16"/>
      <c r="D11" s="16"/>
      <c r="E11" s="16"/>
      <c r="F11" s="16"/>
    </row>
    <row r="12" spans="1:10" ht="18" customHeight="1" x14ac:dyDescent="0.25">
      <c r="A12" s="16"/>
      <c r="B12" s="297" t="s">
        <v>17</v>
      </c>
      <c r="C12" s="297"/>
      <c r="D12" s="297"/>
      <c r="E12" s="297"/>
      <c r="F12" s="297"/>
      <c r="G12" s="297"/>
    </row>
    <row r="13" spans="1:10" ht="13.5" thickBot="1" x14ac:dyDescent="0.3">
      <c r="A13" s="16"/>
      <c r="B13" s="16"/>
      <c r="C13" s="16"/>
      <c r="D13" s="16"/>
      <c r="E13" s="16"/>
      <c r="F13" s="16"/>
    </row>
    <row r="14" spans="1:10" ht="39.75" x14ac:dyDescent="0.25">
      <c r="A14" s="25" t="s">
        <v>11</v>
      </c>
      <c r="B14" s="26" t="s">
        <v>6</v>
      </c>
      <c r="C14" s="12" t="s">
        <v>75</v>
      </c>
      <c r="D14" s="12" t="s">
        <v>76</v>
      </c>
      <c r="E14" s="12" t="s">
        <v>77</v>
      </c>
      <c r="F14" s="12" t="s">
        <v>78</v>
      </c>
      <c r="G14" s="13" t="s">
        <v>79</v>
      </c>
    </row>
    <row r="15" spans="1:10" x14ac:dyDescent="0.25">
      <c r="A15" s="27">
        <v>1</v>
      </c>
      <c r="B15" s="28" t="s">
        <v>7</v>
      </c>
      <c r="C15" s="29" t="s">
        <v>27</v>
      </c>
      <c r="D15" s="28">
        <v>1</v>
      </c>
      <c r="E15" s="28">
        <v>0.25</v>
      </c>
      <c r="F15" s="28">
        <v>1.95</v>
      </c>
      <c r="G15" s="30">
        <f>ROUND(D15*E15*F15,3)</f>
        <v>0.48799999999999999</v>
      </c>
    </row>
    <row r="16" spans="1:10" x14ac:dyDescent="0.25">
      <c r="A16" s="27">
        <v>2</v>
      </c>
      <c r="B16" s="28" t="s">
        <v>8</v>
      </c>
      <c r="C16" s="31">
        <f>IF($C$10&lt;10,0,IF($C$10&lt;30,0.058,IF($C$10&lt;50,0.045,IF($C$10&lt;200.01,0.034,0.022))))</f>
        <v>4.4999999999999998E-2</v>
      </c>
      <c r="D16" s="28">
        <f t="shared" ref="D16:D23" si="0">ROUNDUP(C16*$C$10,0)</f>
        <v>2</v>
      </c>
      <c r="E16" s="32">
        <f>IF(C16=0,0,C16*$C$10*0.4/D16)</f>
        <v>0.29510999999999998</v>
      </c>
      <c r="F16" s="28">
        <v>1.85</v>
      </c>
      <c r="G16" s="30">
        <f t="shared" ref="G16:G23" si="1">ROUND(D16*E16*F16,3)</f>
        <v>1.0920000000000001</v>
      </c>
    </row>
    <row r="17" spans="1:9" ht="51" x14ac:dyDescent="0.25">
      <c r="A17" s="27">
        <v>3</v>
      </c>
      <c r="B17" s="28" t="s">
        <v>20</v>
      </c>
      <c r="C17" s="31">
        <f t="shared" ref="C17" si="2">IF($C$10&lt;10,0,IF($C$10&lt;30,0.058,IF($C$10&lt;50,0.045,IF($C$10&lt;200.01,0.034,0.022))))</f>
        <v>4.4999999999999998E-2</v>
      </c>
      <c r="D17" s="28">
        <f t="shared" si="0"/>
        <v>2</v>
      </c>
      <c r="E17" s="32">
        <f>IF(C17=0,0,C17*$C$10*0.6/D17)</f>
        <v>0.44266499999999998</v>
      </c>
      <c r="F17" s="28">
        <v>1.7</v>
      </c>
      <c r="G17" s="30">
        <f t="shared" si="1"/>
        <v>1.5049999999999999</v>
      </c>
    </row>
    <row r="18" spans="1:9" ht="38.25" x14ac:dyDescent="0.25">
      <c r="A18" s="27">
        <v>4</v>
      </c>
      <c r="B18" s="28" t="s">
        <v>21</v>
      </c>
      <c r="C18" s="31">
        <f>IF($C$10&lt;10,0,IF($C$10&lt;30,0,IF($C$10&lt;50,0.045,IF($C$10&lt;200.01,0.056,0.055))))</f>
        <v>4.4999999999999998E-2</v>
      </c>
      <c r="D18" s="28">
        <f t="shared" si="0"/>
        <v>2</v>
      </c>
      <c r="E18" s="32">
        <f>IF(C18=0,0,C18*$C$10*0.7/D18)</f>
        <v>0.51644249999999992</v>
      </c>
      <c r="F18" s="28">
        <v>1.6</v>
      </c>
      <c r="G18" s="30">
        <f t="shared" si="1"/>
        <v>1.653</v>
      </c>
    </row>
    <row r="19" spans="1:9" ht="38.25" x14ac:dyDescent="0.25">
      <c r="A19" s="27">
        <v>5</v>
      </c>
      <c r="B19" s="28" t="s">
        <v>22</v>
      </c>
      <c r="C19" s="31">
        <f>IF($C$10&lt;10,0,IF($C$10&lt;30,0,IF($C$10&lt;50,0,IF($C$10&lt;200.01,0.045,0.044))))</f>
        <v>0</v>
      </c>
      <c r="D19" s="28">
        <f t="shared" si="0"/>
        <v>0</v>
      </c>
      <c r="E19" s="32">
        <f>IF(C19=0,0,C19*$C$10*0.8/D19)</f>
        <v>0</v>
      </c>
      <c r="F19" s="28">
        <v>1.5</v>
      </c>
      <c r="G19" s="30">
        <f t="shared" si="1"/>
        <v>0</v>
      </c>
    </row>
    <row r="20" spans="1:9" ht="38.25" x14ac:dyDescent="0.25">
      <c r="A20" s="27">
        <v>6</v>
      </c>
      <c r="B20" s="28" t="s">
        <v>23</v>
      </c>
      <c r="C20" s="31">
        <f>IF($C$10&lt;10,0.29,IF($C$10&lt;30,0.231,IF($C$10&lt;50,0.204,IF($C$10&lt;200.01,0.157,0.155))))</f>
        <v>0.20399999999999999</v>
      </c>
      <c r="D20" s="28">
        <f t="shared" si="0"/>
        <v>7</v>
      </c>
      <c r="E20" s="32">
        <f>IF(C20=0,0,C20*$C$10*0.9/D20)</f>
        <v>0.8600348571428571</v>
      </c>
      <c r="F20" s="28">
        <v>1.4</v>
      </c>
      <c r="G20" s="30">
        <f t="shared" si="1"/>
        <v>8.4280000000000008</v>
      </c>
    </row>
    <row r="21" spans="1:9" ht="38.25" x14ac:dyDescent="0.25">
      <c r="A21" s="27">
        <v>7</v>
      </c>
      <c r="B21" s="28" t="s">
        <v>24</v>
      </c>
      <c r="C21" s="31">
        <f>IF($C$10&lt;10,0,IF($C$10&lt;30,0.058,IF($C$10&lt;50,0.068,IF($C$10&lt;200.01,0.068,0.077))))</f>
        <v>6.8000000000000005E-2</v>
      </c>
      <c r="D21" s="28">
        <f t="shared" si="0"/>
        <v>3</v>
      </c>
      <c r="E21" s="32">
        <f>IF(C21=0,0,C21*$C$10*1/D21)</f>
        <v>0.74324000000000001</v>
      </c>
      <c r="F21" s="28">
        <v>1</v>
      </c>
      <c r="G21" s="30">
        <f t="shared" si="1"/>
        <v>2.23</v>
      </c>
    </row>
    <row r="22" spans="1:9" ht="25.5" x14ac:dyDescent="0.25">
      <c r="A22" s="27">
        <v>8</v>
      </c>
      <c r="B22" s="28" t="s">
        <v>25</v>
      </c>
      <c r="C22" s="31">
        <f>IF($C$10&lt;10,0.58,IF($C$10&lt;30,0.52,IF($C$10&lt;50,0.52,IF($C$10&lt;200.01,0.526,0.531))))</f>
        <v>0.52</v>
      </c>
      <c r="D22" s="28">
        <f t="shared" si="0"/>
        <v>18</v>
      </c>
      <c r="E22" s="32">
        <f>IF(C22=0,0,C22*$C$10*1/D22)</f>
        <v>0.94726666666666659</v>
      </c>
      <c r="F22" s="28">
        <v>0.9</v>
      </c>
      <c r="G22" s="30">
        <f t="shared" si="1"/>
        <v>15.346</v>
      </c>
    </row>
    <row r="23" spans="1:9" x14ac:dyDescent="0.25">
      <c r="A23" s="27">
        <v>9</v>
      </c>
      <c r="B23" s="28" t="s">
        <v>26</v>
      </c>
      <c r="C23" s="31">
        <f>IF($C$10&lt;10,0.145,IF($C$10&lt;30,0.173,IF($C$10&lt;50,0.181,IF($C$10&lt;200.01,0.191,0.193))))</f>
        <v>0.18099999999999999</v>
      </c>
      <c r="D23" s="28">
        <f t="shared" si="0"/>
        <v>6</v>
      </c>
      <c r="E23" s="32">
        <f>IF(C23=0,0,C23*$C$10*0.8/D23)</f>
        <v>0.79133200000000004</v>
      </c>
      <c r="F23" s="28">
        <v>0.75</v>
      </c>
      <c r="G23" s="30">
        <f t="shared" si="1"/>
        <v>3.5609999999999999</v>
      </c>
    </row>
    <row r="24" spans="1:9" ht="25.5" customHeight="1" thickBot="1" x14ac:dyDescent="0.3">
      <c r="A24" s="33"/>
      <c r="B24" s="34" t="s">
        <v>9</v>
      </c>
      <c r="C24" s="34"/>
      <c r="D24" s="34">
        <f>SUM(D15:D23)</f>
        <v>41</v>
      </c>
      <c r="E24" s="34"/>
      <c r="F24" s="34"/>
      <c r="G24" s="35">
        <f>ROUND(SUM(G15:G23)/D24,3)</f>
        <v>0.83699999999999997</v>
      </c>
    </row>
    <row r="25" spans="1:9" x14ac:dyDescent="0.25">
      <c r="I25" s="156"/>
    </row>
    <row r="26" spans="1:9" x14ac:dyDescent="0.25">
      <c r="B26" s="297" t="s">
        <v>19</v>
      </c>
      <c r="C26" s="297"/>
      <c r="D26" s="297"/>
      <c r="E26" s="297"/>
      <c r="F26" s="297"/>
      <c r="G26" s="297"/>
    </row>
    <row r="27" spans="1:9" ht="13.5" thickBot="1" x14ac:dyDescent="0.3"/>
    <row r="28" spans="1:9" ht="66" customHeight="1" x14ac:dyDescent="0.25">
      <c r="A28" s="14" t="s">
        <v>11</v>
      </c>
      <c r="B28" s="12" t="s">
        <v>80</v>
      </c>
      <c r="C28" s="12" t="s">
        <v>81</v>
      </c>
      <c r="D28" s="12" t="s">
        <v>82</v>
      </c>
      <c r="E28" s="12" t="s">
        <v>79</v>
      </c>
      <c r="F28" s="12" t="s">
        <v>18</v>
      </c>
    </row>
    <row r="29" spans="1:9" ht="13.5" thickBot="1" x14ac:dyDescent="0.3">
      <c r="A29" s="36">
        <v>1</v>
      </c>
      <c r="B29" s="37">
        <f>F6</f>
        <v>136603.38</v>
      </c>
      <c r="C29" s="38">
        <f>C9</f>
        <v>9.86</v>
      </c>
      <c r="D29" s="39">
        <f>D24</f>
        <v>41</v>
      </c>
      <c r="E29" s="40">
        <f>G24</f>
        <v>0.83699999999999997</v>
      </c>
      <c r="F29" s="41">
        <f>ROUND(B29*C29*D29*E29,2)</f>
        <v>46221887.369999997</v>
      </c>
    </row>
    <row r="31" spans="1:9" ht="15.75" x14ac:dyDescent="0.25">
      <c r="B31" s="257" t="s">
        <v>259</v>
      </c>
    </row>
    <row r="32" spans="1:9" ht="15.75" x14ac:dyDescent="0.25">
      <c r="B32" s="257"/>
    </row>
    <row r="33" spans="2:8" x14ac:dyDescent="0.25">
      <c r="B33" s="260" t="s">
        <v>260</v>
      </c>
      <c r="C33" s="260" t="s">
        <v>263</v>
      </c>
      <c r="D33" s="260" t="s">
        <v>268</v>
      </c>
    </row>
    <row r="34" spans="2:8" ht="24" x14ac:dyDescent="0.25">
      <c r="B34" s="259" t="s">
        <v>261</v>
      </c>
      <c r="C34" s="264">
        <f>F29</f>
        <v>46221887.369999997</v>
      </c>
      <c r="D34" s="261"/>
    </row>
    <row r="35" spans="2:8" ht="24" x14ac:dyDescent="0.25">
      <c r="B35" s="259" t="s">
        <v>262</v>
      </c>
      <c r="C35" s="265">
        <f>'ИБ по МРР'!N12</f>
        <v>2859633.65</v>
      </c>
      <c r="D35" s="262"/>
    </row>
    <row r="36" spans="2:8" x14ac:dyDescent="0.25">
      <c r="B36" s="258" t="s">
        <v>266</v>
      </c>
      <c r="C36" s="266">
        <f>SUM(C34:C35)</f>
        <v>49081521.019999996</v>
      </c>
      <c r="D36" s="269"/>
    </row>
    <row r="37" spans="2:8" x14ac:dyDescent="0.25">
      <c r="B37" s="258" t="s">
        <v>269</v>
      </c>
      <c r="C37" s="268"/>
      <c r="D37" s="269"/>
    </row>
    <row r="38" spans="2:8" x14ac:dyDescent="0.25">
      <c r="B38" s="270" t="s">
        <v>265</v>
      </c>
      <c r="C38" s="271">
        <f>C36*17%</f>
        <v>8343858.5734000001</v>
      </c>
      <c r="D38" s="272">
        <f>C38*1.18</f>
        <v>9845753.1166120004</v>
      </c>
      <c r="F38" s="275"/>
    </row>
    <row r="39" spans="2:8" x14ac:dyDescent="0.25">
      <c r="B39" s="270" t="s">
        <v>264</v>
      </c>
      <c r="C39" s="271">
        <f>C36*78%</f>
        <v>38283586.395599999</v>
      </c>
      <c r="D39" s="272">
        <f>C39*1.2</f>
        <v>45940303.674719997</v>
      </c>
    </row>
    <row r="40" spans="2:8" x14ac:dyDescent="0.25">
      <c r="B40" s="270" t="s">
        <v>271</v>
      </c>
      <c r="C40" s="271">
        <f>C36*5%</f>
        <v>2454076.051</v>
      </c>
      <c r="D40" s="272">
        <f>C40*1.2</f>
        <v>2944891.2612000001</v>
      </c>
    </row>
    <row r="41" spans="2:8" x14ac:dyDescent="0.25">
      <c r="B41" s="258" t="s">
        <v>222</v>
      </c>
      <c r="C41" s="269">
        <f>C38+C39+C40</f>
        <v>49081521.019999996</v>
      </c>
      <c r="D41" s="274">
        <f>D38+D39+D40</f>
        <v>58730948.052532002</v>
      </c>
      <c r="E41" s="267"/>
    </row>
    <row r="43" spans="2:8" ht="40.5" customHeight="1" x14ac:dyDescent="0.25">
      <c r="B43" s="298" t="s">
        <v>267</v>
      </c>
      <c r="C43" s="298"/>
      <c r="D43" s="298"/>
      <c r="E43" s="298"/>
      <c r="F43" s="298"/>
      <c r="G43" s="298"/>
    </row>
    <row r="44" spans="2:8" ht="89.25" customHeight="1" x14ac:dyDescent="0.25">
      <c r="B44" s="298" t="s">
        <v>270</v>
      </c>
      <c r="C44" s="298"/>
      <c r="D44" s="298"/>
      <c r="E44" s="298"/>
      <c r="F44" s="298"/>
      <c r="G44" s="298"/>
    </row>
    <row r="45" spans="2:8" x14ac:dyDescent="0.25">
      <c r="F45" s="273"/>
      <c r="G45" s="273"/>
      <c r="H45" s="273"/>
    </row>
    <row r="46" spans="2:8" x14ac:dyDescent="0.25">
      <c r="F46" s="273"/>
      <c r="G46" s="273"/>
      <c r="H46" s="273"/>
    </row>
    <row r="47" spans="2:8" x14ac:dyDescent="0.25">
      <c r="F47" s="273"/>
      <c r="G47" s="273"/>
      <c r="H47" s="273"/>
    </row>
  </sheetData>
  <mergeCells count="5">
    <mergeCell ref="B1:J1"/>
    <mergeCell ref="B12:G12"/>
    <mergeCell ref="B26:G26"/>
    <mergeCell ref="B44:G44"/>
    <mergeCell ref="B43:G43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zoomScale="90" zoomScaleNormal="90" workbookViewId="0">
      <selection activeCell="F26" sqref="F26"/>
    </sheetView>
  </sheetViews>
  <sheetFormatPr defaultColWidth="9.140625" defaultRowHeight="12.75" x14ac:dyDescent="0.2"/>
  <cols>
    <col min="1" max="1" width="9.140625" style="1"/>
    <col min="2" max="2" width="44.7109375" style="1" customWidth="1"/>
    <col min="3" max="3" width="26.85546875" style="1" customWidth="1"/>
    <col min="4" max="4" width="28.140625" style="1" customWidth="1"/>
    <col min="5" max="5" width="18.5703125" style="1" customWidth="1"/>
    <col min="6" max="8" width="9.140625" style="1"/>
    <col min="9" max="9" width="11.42578125" style="1" bestFit="1" customWidth="1"/>
    <col min="10" max="10" width="14.5703125" style="1" customWidth="1"/>
    <col min="11" max="11" width="12.28515625" style="1" bestFit="1" customWidth="1"/>
    <col min="12" max="16384" width="9.140625" style="1"/>
  </cols>
  <sheetData>
    <row r="2" spans="2:11" ht="14.25" x14ac:dyDescent="0.25">
      <c r="B2" s="50" t="s">
        <v>59</v>
      </c>
      <c r="E2" s="2"/>
    </row>
    <row r="3" spans="2:11" x14ac:dyDescent="0.2">
      <c r="B3" s="51" t="s">
        <v>29</v>
      </c>
    </row>
    <row r="4" spans="2:11" ht="13.5" thickBot="1" x14ac:dyDescent="0.25"/>
    <row r="5" spans="2:11" ht="13.5" thickBot="1" x14ac:dyDescent="0.25">
      <c r="B5" s="15" t="s">
        <v>30</v>
      </c>
      <c r="C5" s="3" t="s">
        <v>31</v>
      </c>
      <c r="D5" s="3" t="s">
        <v>32</v>
      </c>
      <c r="E5" s="3" t="s">
        <v>56</v>
      </c>
    </row>
    <row r="6" spans="2:11" ht="15" thickBot="1" x14ac:dyDescent="0.25">
      <c r="B6" s="244" t="s">
        <v>60</v>
      </c>
      <c r="C6" s="4">
        <v>0.9</v>
      </c>
      <c r="D6" s="254">
        <v>1</v>
      </c>
      <c r="E6" s="4">
        <v>1.1499999999999999</v>
      </c>
    </row>
    <row r="8" spans="2:11" ht="14.25" x14ac:dyDescent="0.25">
      <c r="B8" s="50" t="s">
        <v>61</v>
      </c>
      <c r="E8" s="2"/>
    </row>
    <row r="9" spans="2:11" x14ac:dyDescent="0.2">
      <c r="B9" s="51" t="s">
        <v>29</v>
      </c>
    </row>
    <row r="10" spans="2:11" ht="13.5" thickBot="1" x14ac:dyDescent="0.25">
      <c r="J10" s="116"/>
      <c r="K10" s="116"/>
    </row>
    <row r="11" spans="2:11" ht="26.25" thickBot="1" x14ac:dyDescent="0.25">
      <c r="B11" s="15" t="s">
        <v>33</v>
      </c>
      <c r="C11" s="3" t="s">
        <v>34</v>
      </c>
      <c r="D11" s="3" t="s">
        <v>35</v>
      </c>
      <c r="E11" s="3" t="s">
        <v>36</v>
      </c>
      <c r="G11" s="5"/>
      <c r="I11" s="52"/>
      <c r="J11" s="116"/>
      <c r="K11" s="255"/>
    </row>
    <row r="12" spans="2:11" ht="15" thickBot="1" x14ac:dyDescent="0.25">
      <c r="B12" s="244" t="s">
        <v>62</v>
      </c>
      <c r="C12" s="4">
        <v>0.93</v>
      </c>
      <c r="D12" s="4">
        <v>1</v>
      </c>
      <c r="E12" s="4">
        <v>1.07</v>
      </c>
      <c r="I12" s="52"/>
      <c r="J12" s="116"/>
      <c r="K12" s="256"/>
    </row>
    <row r="13" spans="2:11" x14ac:dyDescent="0.2">
      <c r="I13" s="53"/>
      <c r="J13" s="116"/>
      <c r="K13" s="255"/>
    </row>
    <row r="14" spans="2:11" ht="14.25" x14ac:dyDescent="0.25">
      <c r="B14" s="50" t="s">
        <v>63</v>
      </c>
      <c r="E14" s="2"/>
      <c r="F14" s="114"/>
      <c r="I14" s="54"/>
    </row>
    <row r="15" spans="2:11" x14ac:dyDescent="0.2">
      <c r="B15" s="51" t="s">
        <v>29</v>
      </c>
      <c r="I15" s="54"/>
    </row>
    <row r="16" spans="2:11" ht="13.5" thickBot="1" x14ac:dyDescent="0.25"/>
    <row r="17" spans="2:7" x14ac:dyDescent="0.2">
      <c r="B17" s="299" t="s">
        <v>37</v>
      </c>
      <c r="C17" s="299" t="s">
        <v>34</v>
      </c>
      <c r="D17" s="299" t="s">
        <v>38</v>
      </c>
      <c r="E17" s="299" t="s">
        <v>39</v>
      </c>
      <c r="G17" s="6"/>
    </row>
    <row r="18" spans="2:7" ht="13.5" thickBot="1" x14ac:dyDescent="0.25">
      <c r="B18" s="300"/>
      <c r="C18" s="300"/>
      <c r="D18" s="300"/>
      <c r="E18" s="300"/>
    </row>
    <row r="19" spans="2:7" ht="15" thickBot="1" x14ac:dyDescent="0.25">
      <c r="B19" s="244" t="s">
        <v>64</v>
      </c>
      <c r="C19" s="4">
        <v>0.95</v>
      </c>
      <c r="D19" s="4">
        <v>1</v>
      </c>
      <c r="E19" s="4">
        <v>1.05</v>
      </c>
    </row>
    <row r="21" spans="2:7" ht="14.25" x14ac:dyDescent="0.25">
      <c r="B21" s="50" t="s">
        <v>65</v>
      </c>
      <c r="E21" s="2"/>
      <c r="F21" s="114"/>
    </row>
    <row r="22" spans="2:7" x14ac:dyDescent="0.2">
      <c r="B22" s="51" t="s">
        <v>40</v>
      </c>
    </row>
    <row r="23" spans="2:7" ht="13.5" thickBot="1" x14ac:dyDescent="0.25">
      <c r="C23" s="2"/>
      <c r="D23" s="2"/>
      <c r="E23" s="2"/>
    </row>
    <row r="24" spans="2:7" ht="39" thickBot="1" x14ac:dyDescent="0.25">
      <c r="B24" s="15" t="s">
        <v>41</v>
      </c>
      <c r="C24" s="3" t="s">
        <v>42</v>
      </c>
      <c r="D24" s="3" t="s">
        <v>43</v>
      </c>
      <c r="E24" s="3" t="s">
        <v>44</v>
      </c>
    </row>
    <row r="25" spans="2:7" ht="15" thickBot="1" x14ac:dyDescent="0.25">
      <c r="B25" s="244" t="s">
        <v>66</v>
      </c>
      <c r="C25" s="4">
        <v>0.85</v>
      </c>
      <c r="D25" s="4">
        <v>1</v>
      </c>
      <c r="E25" s="4">
        <v>1.1499999999999999</v>
      </c>
    </row>
    <row r="27" spans="2:7" ht="14.25" x14ac:dyDescent="0.25">
      <c r="B27" s="50" t="s">
        <v>67</v>
      </c>
      <c r="E27" s="2"/>
    </row>
    <row r="28" spans="2:7" x14ac:dyDescent="0.2">
      <c r="B28" s="51" t="s">
        <v>40</v>
      </c>
    </row>
    <row r="29" spans="2:7" ht="13.5" thickBot="1" x14ac:dyDescent="0.25">
      <c r="D29" s="2"/>
      <c r="E29" s="2"/>
    </row>
    <row r="30" spans="2:7" x14ac:dyDescent="0.2">
      <c r="B30" s="299" t="s">
        <v>45</v>
      </c>
      <c r="C30" s="7" t="s">
        <v>46</v>
      </c>
      <c r="D30" s="299" t="s">
        <v>47</v>
      </c>
    </row>
    <row r="31" spans="2:7" ht="13.5" thickBot="1" x14ac:dyDescent="0.25">
      <c r="B31" s="300"/>
      <c r="C31" s="4" t="s">
        <v>47</v>
      </c>
      <c r="D31" s="300"/>
    </row>
    <row r="32" spans="2:7" ht="15" thickBot="1" x14ac:dyDescent="0.25">
      <c r="B32" s="244" t="s">
        <v>68</v>
      </c>
      <c r="C32" s="4">
        <v>1</v>
      </c>
      <c r="D32" s="4">
        <v>1.07</v>
      </c>
    </row>
    <row r="34" spans="2:12" ht="15" x14ac:dyDescent="0.25">
      <c r="B34" s="50" t="s">
        <v>69</v>
      </c>
      <c r="E34" s="2"/>
      <c r="L34" s="117"/>
    </row>
    <row r="35" spans="2:12" x14ac:dyDescent="0.2">
      <c r="B35" s="51" t="s">
        <v>40</v>
      </c>
    </row>
    <row r="36" spans="2:12" ht="13.5" thickBot="1" x14ac:dyDescent="0.25">
      <c r="D36" s="112"/>
      <c r="L36" s="113"/>
    </row>
    <row r="37" spans="2:12" ht="26.25" thickBot="1" x14ac:dyDescent="0.25">
      <c r="B37" s="15" t="s">
        <v>48</v>
      </c>
      <c r="C37" s="3" t="s">
        <v>49</v>
      </c>
      <c r="D37" s="3" t="s">
        <v>50</v>
      </c>
      <c r="E37" s="3" t="s">
        <v>51</v>
      </c>
    </row>
    <row r="38" spans="2:12" ht="15" thickBot="1" x14ac:dyDescent="0.25">
      <c r="B38" s="244" t="s">
        <v>70</v>
      </c>
      <c r="C38" s="4">
        <v>0.87</v>
      </c>
      <c r="D38" s="4">
        <v>1</v>
      </c>
      <c r="E38" s="4">
        <v>1.1499999999999999</v>
      </c>
    </row>
    <row r="40" spans="2:12" ht="14.25" x14ac:dyDescent="0.25">
      <c r="B40" s="50" t="s">
        <v>71</v>
      </c>
    </row>
    <row r="41" spans="2:12" x14ac:dyDescent="0.2">
      <c r="B41" s="51" t="s">
        <v>40</v>
      </c>
    </row>
    <row r="42" spans="2:12" ht="13.5" thickBot="1" x14ac:dyDescent="0.25">
      <c r="C42" s="2"/>
      <c r="D42" s="2"/>
    </row>
    <row r="43" spans="2:12" x14ac:dyDescent="0.2">
      <c r="B43" s="299" t="s">
        <v>52</v>
      </c>
      <c r="C43" s="7" t="s">
        <v>53</v>
      </c>
      <c r="D43" s="7" t="s">
        <v>55</v>
      </c>
      <c r="E43" s="7" t="s">
        <v>57</v>
      </c>
    </row>
    <row r="44" spans="2:12" ht="13.5" thickBot="1" x14ac:dyDescent="0.25">
      <c r="B44" s="300"/>
      <c r="C44" s="4" t="s">
        <v>54</v>
      </c>
      <c r="D44" s="4" t="s">
        <v>54</v>
      </c>
      <c r="E44" s="4" t="s">
        <v>58</v>
      </c>
    </row>
    <row r="45" spans="2:12" ht="18.75" customHeight="1" thickBot="1" x14ac:dyDescent="0.25">
      <c r="B45" s="15" t="s">
        <v>72</v>
      </c>
      <c r="C45" s="15">
        <v>0.97</v>
      </c>
      <c r="D45" s="15">
        <v>1</v>
      </c>
      <c r="E45" s="15">
        <v>1.04</v>
      </c>
    </row>
    <row r="48" spans="2:12" ht="15" x14ac:dyDescent="0.2">
      <c r="D48" s="55"/>
    </row>
  </sheetData>
  <mergeCells count="7">
    <mergeCell ref="B43:B44"/>
    <mergeCell ref="B17:B18"/>
    <mergeCell ref="C17:C18"/>
    <mergeCell ref="D17:D18"/>
    <mergeCell ref="E17:E18"/>
    <mergeCell ref="B30:B31"/>
    <mergeCell ref="D30:D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H5" workbookViewId="0">
      <selection activeCell="N20" sqref="N20"/>
    </sheetView>
  </sheetViews>
  <sheetFormatPr defaultColWidth="9.140625" defaultRowHeight="11.25" outlineLevelCol="1" x14ac:dyDescent="0.25"/>
  <cols>
    <col min="1" max="1" width="5.85546875" style="162" customWidth="1"/>
    <col min="2" max="2" width="6.28515625" style="162" customWidth="1"/>
    <col min="3" max="3" width="47.28515625" style="163" customWidth="1"/>
    <col min="4" max="4" width="10.85546875" style="163" customWidth="1"/>
    <col min="5" max="5" width="13.7109375" style="163" customWidth="1"/>
    <col min="6" max="6" width="9.140625" style="163" customWidth="1" outlineLevel="1"/>
    <col min="7" max="7" width="14.5703125" style="163" customWidth="1" outlineLevel="1"/>
    <col min="8" max="8" width="9.85546875" style="163" customWidth="1" outlineLevel="1"/>
    <col min="9" max="9" width="12.28515625" style="163" customWidth="1" outlineLevel="1"/>
    <col min="10" max="11" width="12.28515625" style="163" customWidth="1"/>
    <col min="12" max="12" width="17.42578125" style="163" customWidth="1"/>
    <col min="13" max="13" width="12.28515625" style="163" customWidth="1"/>
    <col min="14" max="14" width="17.42578125" style="163" customWidth="1"/>
    <col min="15" max="15" width="17.28515625" style="163" hidden="1" customWidth="1"/>
    <col min="16" max="16" width="14.42578125" style="163" bestFit="1" customWidth="1"/>
    <col min="17" max="17" width="11.7109375" style="163" bestFit="1" customWidth="1"/>
    <col min="18" max="18" width="9.140625" style="163"/>
    <col min="19" max="19" width="11.42578125" style="163" bestFit="1" customWidth="1"/>
    <col min="20" max="20" width="12.7109375" style="163" bestFit="1" customWidth="1"/>
    <col min="21" max="16384" width="9.140625" style="163"/>
  </cols>
  <sheetData>
    <row r="1" spans="1:20" s="157" customFormat="1" hidden="1" x14ac:dyDescent="0.25">
      <c r="A1" s="160"/>
      <c r="B1" s="160"/>
      <c r="D1" s="225" t="s">
        <v>219</v>
      </c>
      <c r="E1" s="226" t="s">
        <v>217</v>
      </c>
      <c r="F1" s="226" t="s">
        <v>218</v>
      </c>
      <c r="K1" s="161"/>
    </row>
    <row r="2" spans="1:20" s="157" customFormat="1" hidden="1" x14ac:dyDescent="0.25">
      <c r="A2" s="160"/>
      <c r="B2" s="160"/>
      <c r="D2" s="157" t="s">
        <v>214</v>
      </c>
      <c r="E2" s="157">
        <v>30</v>
      </c>
      <c r="F2" s="157">
        <f>E2*(247/365)</f>
        <v>20.301369863013697</v>
      </c>
      <c r="K2" s="161"/>
    </row>
    <row r="3" spans="1:20" s="157" customFormat="1" hidden="1" x14ac:dyDescent="0.25">
      <c r="A3" s="160"/>
      <c r="B3" s="160"/>
      <c r="D3" s="157" t="s">
        <v>215</v>
      </c>
      <c r="E3" s="157">
        <v>30</v>
      </c>
      <c r="F3" s="157">
        <f>E3*(247/365)</f>
        <v>20.301369863013697</v>
      </c>
      <c r="G3" s="157" t="s">
        <v>237</v>
      </c>
      <c r="K3" s="161"/>
    </row>
    <row r="4" spans="1:20" hidden="1" x14ac:dyDescent="0.25">
      <c r="D4" s="163" t="s">
        <v>216</v>
      </c>
      <c r="E4" s="163">
        <v>50</v>
      </c>
      <c r="F4" s="157">
        <f>E4*(247/365)</f>
        <v>33.835616438356162</v>
      </c>
      <c r="O4" s="158"/>
      <c r="P4" s="158"/>
      <c r="Q4" s="158"/>
    </row>
    <row r="5" spans="1:20" x14ac:dyDescent="0.25">
      <c r="F5" s="157"/>
      <c r="O5" s="158"/>
      <c r="P5" s="158"/>
      <c r="Q5" s="158"/>
    </row>
    <row r="6" spans="1:20" x14ac:dyDescent="0.25">
      <c r="O6" s="158"/>
      <c r="P6" s="158"/>
      <c r="Q6" s="158"/>
    </row>
    <row r="7" spans="1:20" ht="90" x14ac:dyDescent="0.25">
      <c r="B7" s="243" t="s">
        <v>244</v>
      </c>
      <c r="C7" s="242" t="s">
        <v>245</v>
      </c>
      <c r="D7" s="243" t="s">
        <v>246</v>
      </c>
      <c r="E7" s="243" t="s">
        <v>247</v>
      </c>
      <c r="F7" s="243" t="s">
        <v>248</v>
      </c>
      <c r="G7" s="243" t="s">
        <v>249</v>
      </c>
      <c r="H7" s="243" t="s">
        <v>250</v>
      </c>
      <c r="I7" s="243" t="s">
        <v>251</v>
      </c>
      <c r="J7" s="243" t="s">
        <v>252</v>
      </c>
      <c r="K7" s="243" t="s">
        <v>253</v>
      </c>
      <c r="L7" s="243" t="s">
        <v>254</v>
      </c>
      <c r="M7" s="243" t="s">
        <v>256</v>
      </c>
      <c r="N7" s="243" t="s">
        <v>257</v>
      </c>
      <c r="O7" s="243" t="s">
        <v>255</v>
      </c>
      <c r="Q7" s="165"/>
      <c r="R7" s="165"/>
      <c r="S7" s="165"/>
      <c r="T7" s="165"/>
    </row>
    <row r="8" spans="1:20" s="170" customFormat="1" x14ac:dyDescent="0.25">
      <c r="A8" s="220"/>
      <c r="B8" s="166">
        <v>1</v>
      </c>
      <c r="C8" s="167">
        <v>2</v>
      </c>
      <c r="D8" s="167">
        <v>3</v>
      </c>
      <c r="E8" s="167">
        <v>4</v>
      </c>
      <c r="F8" s="167">
        <v>5</v>
      </c>
      <c r="G8" s="167">
        <v>6</v>
      </c>
      <c r="H8" s="167">
        <v>7</v>
      </c>
      <c r="I8" s="167">
        <v>8</v>
      </c>
      <c r="J8" s="167">
        <v>9</v>
      </c>
      <c r="K8" s="167">
        <v>10</v>
      </c>
      <c r="L8" s="167">
        <v>11</v>
      </c>
      <c r="M8" s="167">
        <v>12</v>
      </c>
      <c r="N8" s="168">
        <v>13</v>
      </c>
      <c r="O8" s="169">
        <v>14</v>
      </c>
    </row>
    <row r="9" spans="1:20" s="181" customFormat="1" x14ac:dyDescent="0.25">
      <c r="A9" s="221"/>
      <c r="B9" s="171">
        <v>4</v>
      </c>
      <c r="C9" s="172">
        <v>9590</v>
      </c>
      <c r="D9" s="164">
        <v>22</v>
      </c>
      <c r="E9" s="173">
        <f t="shared" ref="E9:E11" si="0">ROUND(C9/D9,2)</f>
        <v>435.91</v>
      </c>
      <c r="F9" s="172">
        <v>0.4</v>
      </c>
      <c r="G9" s="172">
        <v>0.1</v>
      </c>
      <c r="H9" s="172">
        <f>ROUND((E9*(1+G9))/F9,2)</f>
        <v>1198.75</v>
      </c>
      <c r="I9" s="172">
        <f>E21</f>
        <v>20</v>
      </c>
      <c r="J9" s="172">
        <f>F21</f>
        <v>7</v>
      </c>
      <c r="K9" s="174">
        <f>H22</f>
        <v>0.71399999999999997</v>
      </c>
      <c r="L9" s="172">
        <f t="shared" ref="L9:L11" si="1">ROUND(H9*I9*J9*K9,2)</f>
        <v>119827.05</v>
      </c>
      <c r="M9" s="174">
        <v>3.7149999999999999</v>
      </c>
      <c r="N9" s="175">
        <f t="shared" ref="N9:N11" si="2">ROUND(L9*M9,2)</f>
        <v>445157.49</v>
      </c>
      <c r="O9" s="176">
        <f>ROUND(N9*1.2,2)</f>
        <v>534188.99</v>
      </c>
      <c r="P9" s="177"/>
      <c r="Q9" s="178"/>
      <c r="R9" s="179"/>
      <c r="S9" s="180"/>
      <c r="T9" s="180"/>
    </row>
    <row r="10" spans="1:20" s="181" customFormat="1" x14ac:dyDescent="0.25">
      <c r="A10" s="221"/>
      <c r="B10" s="171">
        <v>5</v>
      </c>
      <c r="C10" s="172">
        <v>9590</v>
      </c>
      <c r="D10" s="164">
        <v>22</v>
      </c>
      <c r="E10" s="173">
        <f t="shared" si="0"/>
        <v>435.91</v>
      </c>
      <c r="F10" s="172">
        <v>0.4</v>
      </c>
      <c r="G10" s="172">
        <v>0.1</v>
      </c>
      <c r="H10" s="172">
        <f t="shared" ref="H10:H11" si="3">ROUND((E10*(1+G10))/F10,2)</f>
        <v>1198.75</v>
      </c>
      <c r="I10" s="172">
        <f>E29</f>
        <v>20</v>
      </c>
      <c r="J10" s="172">
        <f>F29</f>
        <v>17</v>
      </c>
      <c r="K10" s="174">
        <f>H30</f>
        <v>0.72399999999999998</v>
      </c>
      <c r="L10" s="172">
        <f t="shared" si="1"/>
        <v>295084.3</v>
      </c>
      <c r="M10" s="174">
        <v>3.7149999999999999</v>
      </c>
      <c r="N10" s="175">
        <f t="shared" si="2"/>
        <v>1096238.17</v>
      </c>
      <c r="O10" s="176">
        <f>ROUND(N10*1.2,2)</f>
        <v>1315485.8</v>
      </c>
      <c r="P10" s="177"/>
      <c r="Q10" s="178"/>
      <c r="R10" s="179"/>
      <c r="S10" s="180"/>
      <c r="T10" s="180"/>
    </row>
    <row r="11" spans="1:20" s="181" customFormat="1" x14ac:dyDescent="0.25">
      <c r="A11" s="221"/>
      <c r="B11" s="171">
        <v>6</v>
      </c>
      <c r="C11" s="172">
        <v>9590</v>
      </c>
      <c r="D11" s="164">
        <v>22</v>
      </c>
      <c r="E11" s="173">
        <f t="shared" si="0"/>
        <v>435.91</v>
      </c>
      <c r="F11" s="172">
        <v>0.4</v>
      </c>
      <c r="G11" s="172">
        <v>0.1</v>
      </c>
      <c r="H11" s="172">
        <f t="shared" si="3"/>
        <v>1198.75</v>
      </c>
      <c r="I11" s="172">
        <f>E36</f>
        <v>33</v>
      </c>
      <c r="J11" s="172">
        <f>F36</f>
        <v>13</v>
      </c>
      <c r="K11" s="174">
        <f>H37</f>
        <v>0.69</v>
      </c>
      <c r="L11" s="172">
        <f t="shared" si="1"/>
        <v>354841.99</v>
      </c>
      <c r="M11" s="174">
        <v>3.7149999999999999</v>
      </c>
      <c r="N11" s="175">
        <f t="shared" si="2"/>
        <v>1318237.99</v>
      </c>
      <c r="O11" s="176">
        <f>ROUND(N11*1.2,2)</f>
        <v>1581885.59</v>
      </c>
      <c r="P11" s="177"/>
      <c r="Q11" s="178"/>
      <c r="R11" s="179"/>
      <c r="S11" s="180"/>
      <c r="T11" s="180"/>
    </row>
    <row r="12" spans="1:20" s="181" customFormat="1" x14ac:dyDescent="0.25">
      <c r="A12" s="221"/>
      <c r="B12" s="182"/>
      <c r="C12" s="183" t="s">
        <v>222</v>
      </c>
      <c r="D12" s="183"/>
      <c r="E12" s="184"/>
      <c r="F12" s="185"/>
      <c r="G12" s="185"/>
      <c r="H12" s="184"/>
      <c r="I12" s="183"/>
      <c r="J12" s="183"/>
      <c r="K12" s="186"/>
      <c r="L12" s="187"/>
      <c r="M12" s="188" t="s">
        <v>223</v>
      </c>
      <c r="N12" s="189">
        <f>SUM(N9:N11)</f>
        <v>2859633.65</v>
      </c>
      <c r="O12" s="229">
        <f>SUM(O9:O11)</f>
        <v>3431560.38</v>
      </c>
      <c r="P12" s="180"/>
      <c r="Q12" s="178"/>
      <c r="R12" s="179"/>
      <c r="T12" s="180"/>
    </row>
    <row r="13" spans="1:20" s="181" customFormat="1" x14ac:dyDescent="0.25">
      <c r="A13" s="221"/>
      <c r="B13" s="182"/>
      <c r="C13" s="183"/>
      <c r="D13" s="183"/>
      <c r="E13" s="184"/>
      <c r="F13" s="185"/>
      <c r="G13" s="185"/>
      <c r="H13" s="184"/>
      <c r="I13" s="183"/>
      <c r="J13" s="183"/>
      <c r="K13" s="186"/>
      <c r="L13" s="187"/>
      <c r="M13" s="190"/>
      <c r="N13" s="191"/>
      <c r="O13" s="192"/>
      <c r="P13" s="193"/>
      <c r="Q13" s="180"/>
    </row>
    <row r="14" spans="1:20" ht="67.5" x14ac:dyDescent="0.25">
      <c r="B14" s="242" t="s">
        <v>220</v>
      </c>
      <c r="C14" s="241" t="s">
        <v>238</v>
      </c>
      <c r="D14" s="241" t="s">
        <v>239</v>
      </c>
      <c r="E14" s="241" t="s">
        <v>240</v>
      </c>
      <c r="F14" s="241" t="s">
        <v>241</v>
      </c>
      <c r="G14" s="241" t="s">
        <v>242</v>
      </c>
      <c r="H14" s="241" t="s">
        <v>243</v>
      </c>
      <c r="I14" s="238"/>
      <c r="J14" s="203"/>
      <c r="K14" s="194"/>
      <c r="L14" s="239"/>
      <c r="M14" s="195"/>
      <c r="N14" s="196"/>
      <c r="O14" s="197"/>
      <c r="Q14" s="198"/>
    </row>
    <row r="15" spans="1:20" ht="21" x14ac:dyDescent="0.2">
      <c r="A15" s="222"/>
      <c r="B15" s="199"/>
      <c r="C15" s="200" t="s">
        <v>213</v>
      </c>
      <c r="D15" s="164"/>
      <c r="E15" s="164"/>
      <c r="F15" s="164"/>
      <c r="G15" s="164"/>
      <c r="H15" s="201"/>
      <c r="I15" s="202"/>
      <c r="J15" s="203"/>
      <c r="K15" s="194"/>
      <c r="L15" s="235"/>
      <c r="M15" s="195"/>
      <c r="N15" s="196"/>
      <c r="O15" s="197"/>
      <c r="Q15" s="198"/>
    </row>
    <row r="16" spans="1:20" x14ac:dyDescent="0.25">
      <c r="B16" s="199">
        <v>1</v>
      </c>
      <c r="C16" s="209" t="s">
        <v>210</v>
      </c>
      <c r="D16" s="218">
        <v>3</v>
      </c>
      <c r="E16" s="204"/>
      <c r="F16" s="159">
        <v>1</v>
      </c>
      <c r="G16" s="205">
        <v>2</v>
      </c>
      <c r="H16" s="206">
        <f>ROUND((D16/$E$21)*F16*G16,3)</f>
        <v>0.3</v>
      </c>
      <c r="I16" s="235"/>
      <c r="J16" s="207"/>
      <c r="K16" s="208"/>
      <c r="L16" s="210"/>
      <c r="O16" s="158"/>
    </row>
    <row r="17" spans="1:17" x14ac:dyDescent="0.25">
      <c r="B17" s="199">
        <v>2</v>
      </c>
      <c r="C17" s="209" t="s">
        <v>224</v>
      </c>
      <c r="D17" s="218">
        <v>17</v>
      </c>
      <c r="E17" s="204"/>
      <c r="F17" s="159">
        <v>2</v>
      </c>
      <c r="G17" s="205">
        <v>1</v>
      </c>
      <c r="H17" s="206">
        <f t="shared" ref="H17:H20" si="4">ROUND((D17/$E$21)*F17*G17,3)</f>
        <v>1.7</v>
      </c>
      <c r="I17" s="235"/>
      <c r="J17" s="207"/>
      <c r="K17" s="208"/>
      <c r="L17" s="210"/>
      <c r="O17" s="158"/>
      <c r="P17" s="158"/>
      <c r="Q17" s="158"/>
    </row>
    <row r="18" spans="1:17" x14ac:dyDescent="0.25">
      <c r="A18" s="223"/>
      <c r="B18" s="199">
        <v>3</v>
      </c>
      <c r="C18" s="209" t="s">
        <v>226</v>
      </c>
      <c r="D18" s="218">
        <v>17</v>
      </c>
      <c r="E18" s="204"/>
      <c r="F18" s="159">
        <v>1</v>
      </c>
      <c r="G18" s="205">
        <v>1</v>
      </c>
      <c r="H18" s="206">
        <f t="shared" si="4"/>
        <v>0.85</v>
      </c>
      <c r="I18" s="235"/>
      <c r="J18" s="207"/>
      <c r="K18" s="208"/>
      <c r="L18" s="210"/>
      <c r="O18" s="158"/>
      <c r="P18" s="158"/>
      <c r="Q18" s="158"/>
    </row>
    <row r="19" spans="1:17" x14ac:dyDescent="0.25">
      <c r="A19" s="223"/>
      <c r="B19" s="199">
        <v>4</v>
      </c>
      <c r="C19" s="209" t="s">
        <v>227</v>
      </c>
      <c r="D19" s="218">
        <v>17</v>
      </c>
      <c r="E19" s="204"/>
      <c r="F19" s="159">
        <v>2</v>
      </c>
      <c r="G19" s="205">
        <v>1</v>
      </c>
      <c r="H19" s="206">
        <f t="shared" si="4"/>
        <v>1.7</v>
      </c>
      <c r="I19" s="235"/>
      <c r="J19" s="207"/>
      <c r="K19" s="208"/>
      <c r="L19" s="210"/>
      <c r="O19" s="158"/>
      <c r="P19" s="158"/>
      <c r="Q19" s="158"/>
    </row>
    <row r="20" spans="1:17" x14ac:dyDescent="0.25">
      <c r="A20" s="224"/>
      <c r="B20" s="199">
        <v>5</v>
      </c>
      <c r="C20" s="209" t="s">
        <v>225</v>
      </c>
      <c r="D20" s="218">
        <v>10</v>
      </c>
      <c r="E20" s="204"/>
      <c r="F20" s="159">
        <v>1</v>
      </c>
      <c r="G20" s="205">
        <v>0.9</v>
      </c>
      <c r="H20" s="206">
        <f t="shared" si="4"/>
        <v>0.45</v>
      </c>
      <c r="I20" s="235"/>
      <c r="J20" s="207"/>
      <c r="K20" s="208"/>
      <c r="L20" s="210"/>
      <c r="O20" s="158"/>
      <c r="P20" s="158"/>
      <c r="Q20" s="158"/>
    </row>
    <row r="21" spans="1:17" x14ac:dyDescent="0.25">
      <c r="A21" s="223"/>
      <c r="B21" s="302" t="s">
        <v>0</v>
      </c>
      <c r="C21" s="303"/>
      <c r="D21" s="211"/>
      <c r="E21" s="212">
        <v>20</v>
      </c>
      <c r="F21" s="213">
        <f>SUM(F16:F20)</f>
        <v>7</v>
      </c>
      <c r="G21" s="213"/>
      <c r="H21" s="214">
        <f>SUM(H16:H20)</f>
        <v>5</v>
      </c>
      <c r="I21" s="215"/>
      <c r="J21" s="216"/>
      <c r="K21" s="217"/>
      <c r="L21" s="235"/>
    </row>
    <row r="22" spans="1:17" x14ac:dyDescent="0.25">
      <c r="B22" s="301" t="s">
        <v>221</v>
      </c>
      <c r="C22" s="301"/>
      <c r="D22" s="164"/>
      <c r="E22" s="164"/>
      <c r="F22" s="164"/>
      <c r="G22" s="164"/>
      <c r="H22" s="263">
        <f>ROUND(H21/F21,3)</f>
        <v>0.71399999999999997</v>
      </c>
      <c r="I22" s="236"/>
      <c r="J22" s="237"/>
      <c r="K22" s="237"/>
      <c r="L22" s="240"/>
    </row>
    <row r="23" spans="1:17" ht="21" x14ac:dyDescent="0.2">
      <c r="A23" s="222"/>
      <c r="B23" s="199"/>
      <c r="C23" s="200" t="s">
        <v>211</v>
      </c>
      <c r="D23" s="164"/>
      <c r="E23" s="164"/>
      <c r="F23" s="233"/>
      <c r="G23" s="164"/>
      <c r="H23" s="201"/>
      <c r="I23" s="202"/>
      <c r="J23" s="203"/>
      <c r="K23" s="194"/>
      <c r="L23" s="235"/>
      <c r="M23" s="195"/>
      <c r="N23" s="196"/>
      <c r="O23" s="197"/>
      <c r="Q23" s="198"/>
    </row>
    <row r="24" spans="1:17" x14ac:dyDescent="0.25">
      <c r="B24" s="199">
        <v>1</v>
      </c>
      <c r="C24" s="209" t="s">
        <v>210</v>
      </c>
      <c r="D24" s="218">
        <v>3</v>
      </c>
      <c r="E24" s="304"/>
      <c r="F24" s="218">
        <v>1</v>
      </c>
      <c r="G24" s="205">
        <v>2</v>
      </c>
      <c r="H24" s="206">
        <f>ROUND((D24/$E$29)*F24*G24,3)</f>
        <v>0.3</v>
      </c>
      <c r="I24" s="235"/>
      <c r="J24" s="207"/>
      <c r="K24" s="208"/>
      <c r="L24" s="210"/>
      <c r="O24" s="158"/>
    </row>
    <row r="25" spans="1:17" x14ac:dyDescent="0.25">
      <c r="A25" s="223"/>
      <c r="B25" s="199">
        <v>2</v>
      </c>
      <c r="C25" s="209" t="s">
        <v>224</v>
      </c>
      <c r="D25" s="218">
        <v>17</v>
      </c>
      <c r="E25" s="305"/>
      <c r="F25" s="218">
        <v>4</v>
      </c>
      <c r="G25" s="205">
        <v>1</v>
      </c>
      <c r="H25" s="206">
        <f t="shared" ref="H25:H28" si="5">ROUND((D25/$E$29)*F25*G25,3)</f>
        <v>3.4</v>
      </c>
      <c r="I25" s="235"/>
      <c r="J25" s="207"/>
      <c r="K25" s="208"/>
      <c r="L25" s="210"/>
      <c r="O25" s="158"/>
      <c r="P25" s="158"/>
      <c r="Q25" s="158"/>
    </row>
    <row r="26" spans="1:17" x14ac:dyDescent="0.25">
      <c r="A26" s="223"/>
      <c r="B26" s="199">
        <v>3</v>
      </c>
      <c r="C26" s="209" t="s">
        <v>226</v>
      </c>
      <c r="D26" s="218">
        <v>17</v>
      </c>
      <c r="E26" s="305"/>
      <c r="F26" s="218">
        <v>4</v>
      </c>
      <c r="G26" s="205">
        <v>1</v>
      </c>
      <c r="H26" s="206">
        <f t="shared" si="5"/>
        <v>3.4</v>
      </c>
      <c r="I26" s="235"/>
      <c r="J26" s="207"/>
      <c r="K26" s="208"/>
      <c r="L26" s="210"/>
      <c r="O26" s="158"/>
      <c r="P26" s="158"/>
      <c r="Q26" s="158"/>
    </row>
    <row r="27" spans="1:17" x14ac:dyDescent="0.25">
      <c r="A27" s="219"/>
      <c r="B27" s="199">
        <v>4</v>
      </c>
      <c r="C27" s="209" t="s">
        <v>228</v>
      </c>
      <c r="D27" s="218">
        <v>17</v>
      </c>
      <c r="E27" s="305"/>
      <c r="F27" s="218">
        <v>4</v>
      </c>
      <c r="G27" s="205">
        <v>1</v>
      </c>
      <c r="H27" s="206">
        <f t="shared" si="5"/>
        <v>3.4</v>
      </c>
      <c r="I27" s="235"/>
      <c r="J27" s="207"/>
      <c r="K27" s="208"/>
      <c r="L27" s="210"/>
      <c r="O27" s="158"/>
      <c r="P27" s="158"/>
      <c r="Q27" s="158"/>
    </row>
    <row r="28" spans="1:17" x14ac:dyDescent="0.25">
      <c r="A28" s="223"/>
      <c r="B28" s="199">
        <v>5</v>
      </c>
      <c r="C28" s="209" t="s">
        <v>225</v>
      </c>
      <c r="D28" s="218">
        <v>10</v>
      </c>
      <c r="E28" s="305"/>
      <c r="F28" s="218">
        <v>4</v>
      </c>
      <c r="G28" s="205">
        <v>0.9</v>
      </c>
      <c r="H28" s="206">
        <f t="shared" si="5"/>
        <v>1.8</v>
      </c>
      <c r="I28" s="235"/>
      <c r="J28" s="207"/>
      <c r="K28" s="208"/>
      <c r="L28" s="210"/>
      <c r="O28" s="158"/>
      <c r="P28" s="158"/>
      <c r="Q28" s="158"/>
    </row>
    <row r="29" spans="1:17" x14ac:dyDescent="0.25">
      <c r="B29" s="302" t="s">
        <v>0</v>
      </c>
      <c r="C29" s="303"/>
      <c r="D29" s="211"/>
      <c r="E29" s="212">
        <v>20</v>
      </c>
      <c r="F29" s="213">
        <f>SUM(F24:F28)</f>
        <v>17</v>
      </c>
      <c r="G29" s="213"/>
      <c r="H29" s="214">
        <f>SUM(H24:H28)</f>
        <v>12.3</v>
      </c>
      <c r="I29" s="215"/>
      <c r="J29" s="216"/>
      <c r="K29" s="217"/>
      <c r="L29" s="235"/>
    </row>
    <row r="30" spans="1:17" x14ac:dyDescent="0.25">
      <c r="B30" s="301" t="s">
        <v>221</v>
      </c>
      <c r="C30" s="301"/>
      <c r="D30" s="164"/>
      <c r="E30" s="164"/>
      <c r="F30" s="164"/>
      <c r="G30" s="164"/>
      <c r="H30" s="263">
        <f>ROUND(H29/F29,3)</f>
        <v>0.72399999999999998</v>
      </c>
      <c r="I30" s="236"/>
      <c r="J30" s="237"/>
      <c r="K30" s="237"/>
      <c r="L30" s="240"/>
    </row>
    <row r="31" spans="1:17" ht="21" x14ac:dyDescent="0.2">
      <c r="A31" s="222"/>
      <c r="B31" s="199"/>
      <c r="C31" s="200" t="s">
        <v>212</v>
      </c>
      <c r="D31" s="164"/>
      <c r="E31" s="164"/>
      <c r="F31" s="164"/>
      <c r="G31" s="164"/>
      <c r="H31" s="201"/>
      <c r="I31" s="202"/>
      <c r="J31" s="203"/>
      <c r="K31" s="194"/>
      <c r="L31" s="235"/>
      <c r="M31" s="195"/>
      <c r="N31" s="196"/>
      <c r="O31" s="197"/>
      <c r="Q31" s="198"/>
    </row>
    <row r="32" spans="1:17" x14ac:dyDescent="0.25">
      <c r="B32" s="199">
        <v>1</v>
      </c>
      <c r="C32" s="209" t="s">
        <v>210</v>
      </c>
      <c r="D32" s="218">
        <v>9</v>
      </c>
      <c r="E32" s="230"/>
      <c r="F32" s="159">
        <v>1</v>
      </c>
      <c r="G32" s="205">
        <v>2</v>
      </c>
      <c r="H32" s="206">
        <f>ROUND((D32/$E$36)*F32*G32,3)</f>
        <v>0.54500000000000004</v>
      </c>
      <c r="I32" s="235"/>
      <c r="J32" s="207"/>
      <c r="K32" s="208"/>
      <c r="L32" s="210"/>
      <c r="O32" s="158"/>
    </row>
    <row r="33" spans="2:17" x14ac:dyDescent="0.25">
      <c r="B33" s="199">
        <v>2</v>
      </c>
      <c r="C33" s="209" t="s">
        <v>224</v>
      </c>
      <c r="D33" s="218">
        <v>28</v>
      </c>
      <c r="E33" s="231"/>
      <c r="F33" s="159">
        <v>4</v>
      </c>
      <c r="G33" s="205">
        <v>1</v>
      </c>
      <c r="H33" s="206">
        <f t="shared" ref="H33:H35" si="6">ROUND((D33/$E$36)*F33*G33,3)</f>
        <v>3.3940000000000001</v>
      </c>
      <c r="I33" s="235"/>
      <c r="J33" s="207"/>
      <c r="K33" s="208"/>
      <c r="L33" s="210"/>
      <c r="O33" s="158"/>
      <c r="P33" s="158"/>
      <c r="Q33" s="158"/>
    </row>
    <row r="34" spans="2:17" x14ac:dyDescent="0.25">
      <c r="B34" s="199">
        <v>3</v>
      </c>
      <c r="C34" s="209" t="s">
        <v>226</v>
      </c>
      <c r="D34" s="218">
        <v>28</v>
      </c>
      <c r="E34" s="231"/>
      <c r="F34" s="159">
        <v>4</v>
      </c>
      <c r="G34" s="205">
        <v>1</v>
      </c>
      <c r="H34" s="206">
        <f t="shared" si="6"/>
        <v>3.3940000000000001</v>
      </c>
      <c r="I34" s="235"/>
      <c r="J34" s="207"/>
      <c r="K34" s="208"/>
      <c r="L34" s="210"/>
      <c r="O34" s="158"/>
      <c r="P34" s="158"/>
      <c r="Q34" s="158"/>
    </row>
    <row r="35" spans="2:17" x14ac:dyDescent="0.25">
      <c r="B35" s="199">
        <v>4</v>
      </c>
      <c r="C35" s="209" t="s">
        <v>225</v>
      </c>
      <c r="D35" s="218">
        <v>15</v>
      </c>
      <c r="E35" s="232"/>
      <c r="F35" s="159">
        <v>4</v>
      </c>
      <c r="G35" s="205">
        <v>0.9</v>
      </c>
      <c r="H35" s="206">
        <f t="shared" si="6"/>
        <v>1.6359999999999999</v>
      </c>
      <c r="I35" s="235"/>
      <c r="J35" s="207"/>
      <c r="K35" s="208"/>
      <c r="L35" s="210"/>
      <c r="O35" s="158"/>
      <c r="P35" s="158"/>
      <c r="Q35" s="158"/>
    </row>
    <row r="36" spans="2:17" x14ac:dyDescent="0.25">
      <c r="B36" s="302" t="s">
        <v>0</v>
      </c>
      <c r="C36" s="303"/>
      <c r="D36" s="211"/>
      <c r="E36" s="212">
        <v>33</v>
      </c>
      <c r="F36" s="213">
        <f>SUM(F32:F35)</f>
        <v>13</v>
      </c>
      <c r="G36" s="213"/>
      <c r="H36" s="214">
        <f>SUM(H32:H35)</f>
        <v>8.9689999999999994</v>
      </c>
      <c r="I36" s="215"/>
      <c r="J36" s="216"/>
      <c r="K36" s="217"/>
      <c r="L36" s="235"/>
    </row>
    <row r="37" spans="2:17" x14ac:dyDescent="0.25">
      <c r="B37" s="301" t="s">
        <v>221</v>
      </c>
      <c r="C37" s="301"/>
      <c r="D37" s="164"/>
      <c r="E37" s="164"/>
      <c r="F37" s="164"/>
      <c r="G37" s="164"/>
      <c r="H37" s="263">
        <f>ROUND(H36/F36,3)</f>
        <v>0.69</v>
      </c>
      <c r="I37" s="236"/>
      <c r="J37" s="237"/>
      <c r="K37" s="237"/>
      <c r="L37" s="240"/>
    </row>
    <row r="38" spans="2:17" x14ac:dyDescent="0.25">
      <c r="I38" s="239"/>
      <c r="J38" s="239"/>
      <c r="K38" s="239"/>
      <c r="L38" s="197"/>
    </row>
    <row r="39" spans="2:17" x14ac:dyDescent="0.25">
      <c r="I39" s="239"/>
      <c r="J39" s="239"/>
      <c r="K39" s="239"/>
      <c r="L39" s="239"/>
    </row>
  </sheetData>
  <autoFilter ref="A14:T37"/>
  <mergeCells count="7">
    <mergeCell ref="B37:C37"/>
    <mergeCell ref="B21:C21"/>
    <mergeCell ref="B22:C22"/>
    <mergeCell ref="E24:E28"/>
    <mergeCell ref="B29:C29"/>
    <mergeCell ref="B30:C30"/>
    <mergeCell ref="B36:C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ФТ </vt:lpstr>
      <vt:lpstr>Трудоемкость</vt:lpstr>
      <vt:lpstr>СТАТС</vt:lpstr>
      <vt:lpstr>Коэффициенты</vt:lpstr>
      <vt:lpstr>ИБ по МРР</vt:lpstr>
      <vt:lpstr>Трудоемкость!Заголовки_для_печати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Ольга Витальевна</dc:creator>
  <cp:lastModifiedBy>Барчук Ольга Викторовна</cp:lastModifiedBy>
  <cp:lastPrinted>2018-08-08T10:27:03Z</cp:lastPrinted>
  <dcterms:created xsi:type="dcterms:W3CDTF">2015-09-07T15:23:55Z</dcterms:created>
  <dcterms:modified xsi:type="dcterms:W3CDTF">2018-11-06T07:35:48Z</dcterms:modified>
</cp:coreProperties>
</file>